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6"/>
  <workbookPr/>
  <xr:revisionPtr revIDLastSave="0" documentId="11_4CA3B82BFE4C2433A229ADD67C08B4D284DCB0A6" xr6:coauthVersionLast="47" xr6:coauthVersionMax="47" xr10:uidLastSave="{00000000-0000-0000-0000-000000000000}"/>
  <bookViews>
    <workbookView xWindow="0" yWindow="0" windowWidth="0" windowHeight="0" activeTab="1" xr2:uid="{00000000-000D-0000-FFFF-FFFF00000000}"/>
  </bookViews>
  <sheets>
    <sheet name="Start" sheetId="1" r:id="rId1"/>
    <sheet name="Assessment" sheetId="2" r:id="rId2"/>
    <sheet name="Dashboard" sheetId="3" r:id="rId3"/>
    <sheet name="Ref" sheetId="4" state="hidden" r:id="rId4"/>
    <sheet name="Calc" sheetId="5" state="hidden" r:id="rId5"/>
  </sheets>
  <definedNames>
    <definedName name="A_en">Ref!$B$2:$B$6</definedName>
    <definedName name="A_nl">Ref!$C$2:$C$6</definedName>
    <definedName name="B_en">Ref!$B$8:$B$12</definedName>
    <definedName name="B_nl">Ref!$C$8:$C$12</definedName>
    <definedName name="C_1_2_en">Ref!$B$15:$B$19</definedName>
    <definedName name="C_1_2_nl">Ref!$C$15:$C$19</definedName>
    <definedName name="C_2_5_en">Ref!$B$21:$B$25</definedName>
    <definedName name="C_2_5_nl">Ref!$C$21:$C$25</definedName>
    <definedName name="C_3_4_en">Ref!$B$27:$B$31</definedName>
    <definedName name="C_3_4_nl">Ref!$C$27:$C$31</definedName>
    <definedName name="C_4_2_en">Ref!$B$33:$B$37</definedName>
    <definedName name="C_4_2_nl">Ref!$C$33:$C$37</definedName>
    <definedName name="C_5_5_en">Ref!$B$39:$B$43</definedName>
    <definedName name="C_5_5_nl">Ref!$C$39:$C$43</definedName>
    <definedName name="C_6_5_en">Ref!$B$45:$B$49</definedName>
    <definedName name="C_6_5_nl">Ref!$C$45:$C$49</definedName>
    <definedName name="C_7_1_en">Ref!$B$51:$B$55</definedName>
    <definedName name="C_7_1_nl">Ref!$C$51:$C$55</definedName>
    <definedName name="C_7_4_en">Ref!$B$57:$B$61</definedName>
    <definedName name="C_7_4_nl">Ref!$C$57:$C$61</definedName>
    <definedName name="dispA">Ref!$D$2:$D$6</definedName>
    <definedName name="dispB">Ref!$D$8:$D$12</definedName>
    <definedName name="dispC_1_2">Ref!$D$15:$D$19</definedName>
    <definedName name="dispC_2_5">Ref!$D$21:$D$25</definedName>
    <definedName name="dispC_3_4">Ref!$D$27:$D$31</definedName>
    <definedName name="dispC_4_2">Ref!$D$33:$D$37</definedName>
    <definedName name="dispC_5_5">Ref!$D$39:$D$43</definedName>
    <definedName name="dispC_6_5">Ref!$D$45:$D$49</definedName>
    <definedName name="dispC_7_1">Ref!$D$51:$D$55</definedName>
    <definedName name="dispC_7_4">Ref!$D$57:$D$61</definedName>
    <definedName name="Lang">Assessment!$C$2</definedName>
    <definedName name="lvl_disp">Ref!$M$2:$M$6</definedName>
    <definedName name="OrgName">Assessment!$F$2</definedName>
    <definedName name="roles_disp">Ref!$H$2:$H$7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5" l="1"/>
  <c r="V36" i="5"/>
  <c r="U36" i="5"/>
  <c r="Q36" i="5"/>
  <c r="S36" i="5"/>
  <c r="R36" i="5"/>
  <c r="N36" i="5"/>
  <c r="P36" i="5"/>
  <c r="O36" i="5"/>
  <c r="K36" i="5"/>
  <c r="M36" i="5"/>
  <c r="L36" i="5"/>
  <c r="H36" i="5"/>
  <c r="J36" i="5"/>
  <c r="I36" i="5"/>
  <c r="E36" i="5"/>
  <c r="G36" i="5"/>
  <c r="F36" i="5"/>
  <c r="T35" i="5"/>
  <c r="V35" i="5"/>
  <c r="U35" i="5"/>
  <c r="Q35" i="5"/>
  <c r="S35" i="5"/>
  <c r="R35" i="5"/>
  <c r="N35" i="5"/>
  <c r="P35" i="5"/>
  <c r="O35" i="5"/>
  <c r="K35" i="5"/>
  <c r="M35" i="5"/>
  <c r="L35" i="5"/>
  <c r="H35" i="5"/>
  <c r="J35" i="5"/>
  <c r="I35" i="5"/>
  <c r="E35" i="5"/>
  <c r="G35" i="5"/>
  <c r="F35" i="5"/>
  <c r="T34" i="5"/>
  <c r="V34" i="5"/>
  <c r="U34" i="5"/>
  <c r="Q34" i="5"/>
  <c r="S34" i="5"/>
  <c r="R34" i="5"/>
  <c r="N34" i="5"/>
  <c r="P34" i="5"/>
  <c r="O34" i="5"/>
  <c r="K34" i="5"/>
  <c r="M34" i="5"/>
  <c r="L34" i="5"/>
  <c r="H34" i="5"/>
  <c r="J34" i="5"/>
  <c r="I34" i="5"/>
  <c r="E34" i="5"/>
  <c r="G34" i="5"/>
  <c r="F34" i="5"/>
  <c r="T33" i="5"/>
  <c r="V33" i="5"/>
  <c r="U33" i="5"/>
  <c r="Q33" i="5"/>
  <c r="S33" i="5"/>
  <c r="R33" i="5"/>
  <c r="N33" i="5"/>
  <c r="P33" i="5"/>
  <c r="O33" i="5"/>
  <c r="K33" i="5"/>
  <c r="M33" i="5"/>
  <c r="L33" i="5"/>
  <c r="H33" i="5"/>
  <c r="J33" i="5"/>
  <c r="I33" i="5"/>
  <c r="E33" i="5"/>
  <c r="G33" i="5"/>
  <c r="F33" i="5"/>
  <c r="T32" i="5"/>
  <c r="V32" i="5"/>
  <c r="U32" i="5"/>
  <c r="Q32" i="5"/>
  <c r="S32" i="5"/>
  <c r="R32" i="5"/>
  <c r="N32" i="5"/>
  <c r="P32" i="5"/>
  <c r="O32" i="5"/>
  <c r="K32" i="5"/>
  <c r="M32" i="5"/>
  <c r="L32" i="5"/>
  <c r="H32" i="5"/>
  <c r="J32" i="5"/>
  <c r="I32" i="5"/>
  <c r="E32" i="5"/>
  <c r="G32" i="5"/>
  <c r="F32" i="5"/>
  <c r="T31" i="5"/>
  <c r="V31" i="5"/>
  <c r="U31" i="5"/>
  <c r="Q31" i="5"/>
  <c r="S31" i="5"/>
  <c r="R31" i="5"/>
  <c r="N31" i="5"/>
  <c r="P31" i="5"/>
  <c r="O31" i="5"/>
  <c r="K31" i="5"/>
  <c r="M31" i="5"/>
  <c r="L31" i="5"/>
  <c r="H31" i="5"/>
  <c r="J31" i="5"/>
  <c r="I31" i="5"/>
  <c r="E31" i="5"/>
  <c r="G31" i="5"/>
  <c r="F31" i="5"/>
  <c r="T30" i="5"/>
  <c r="V30" i="5"/>
  <c r="U30" i="5"/>
  <c r="Q30" i="5"/>
  <c r="S30" i="5"/>
  <c r="R30" i="5"/>
  <c r="N30" i="5"/>
  <c r="P30" i="5"/>
  <c r="O30" i="5"/>
  <c r="K30" i="5"/>
  <c r="M30" i="5"/>
  <c r="L30" i="5"/>
  <c r="H30" i="5"/>
  <c r="J30" i="5"/>
  <c r="I30" i="5"/>
  <c r="E30" i="5"/>
  <c r="G30" i="5"/>
  <c r="F30" i="5"/>
  <c r="T29" i="5"/>
  <c r="V29" i="5"/>
  <c r="U29" i="5"/>
  <c r="Q29" i="5"/>
  <c r="S29" i="5"/>
  <c r="R29" i="5"/>
  <c r="N29" i="5"/>
  <c r="P29" i="5"/>
  <c r="O29" i="5"/>
  <c r="K29" i="5"/>
  <c r="M29" i="5"/>
  <c r="L29" i="5"/>
  <c r="H29" i="5"/>
  <c r="J29" i="5"/>
  <c r="I29" i="5"/>
  <c r="E29" i="5"/>
  <c r="G29" i="5"/>
  <c r="F29" i="5"/>
  <c r="T28" i="5"/>
  <c r="V28" i="5"/>
  <c r="U28" i="5"/>
  <c r="Q28" i="5"/>
  <c r="S28" i="5"/>
  <c r="R28" i="5"/>
  <c r="N28" i="5"/>
  <c r="P28" i="5"/>
  <c r="O28" i="5"/>
  <c r="K28" i="5"/>
  <c r="M28" i="5"/>
  <c r="L28" i="5"/>
  <c r="H28" i="5"/>
  <c r="J28" i="5"/>
  <c r="I28" i="5"/>
  <c r="E28" i="5"/>
  <c r="G28" i="5"/>
  <c r="F28" i="5"/>
  <c r="T27" i="5"/>
  <c r="V27" i="5"/>
  <c r="U27" i="5"/>
  <c r="Q27" i="5"/>
  <c r="S27" i="5"/>
  <c r="R27" i="5"/>
  <c r="N27" i="5"/>
  <c r="P27" i="5"/>
  <c r="O27" i="5"/>
  <c r="K27" i="5"/>
  <c r="M27" i="5"/>
  <c r="L27" i="5"/>
  <c r="H27" i="5"/>
  <c r="J27" i="5"/>
  <c r="I27" i="5"/>
  <c r="E27" i="5"/>
  <c r="G27" i="5"/>
  <c r="F27" i="5"/>
  <c r="T26" i="5"/>
  <c r="V26" i="5"/>
  <c r="U26" i="5"/>
  <c r="Q26" i="5"/>
  <c r="S26" i="5"/>
  <c r="R26" i="5"/>
  <c r="N26" i="5"/>
  <c r="P26" i="5"/>
  <c r="O26" i="5"/>
  <c r="K26" i="5"/>
  <c r="M26" i="5"/>
  <c r="L26" i="5"/>
  <c r="H26" i="5"/>
  <c r="J26" i="5"/>
  <c r="I26" i="5"/>
  <c r="E26" i="5"/>
  <c r="G26" i="5"/>
  <c r="F26" i="5"/>
  <c r="T25" i="5"/>
  <c r="V25" i="5"/>
  <c r="U25" i="5"/>
  <c r="Q25" i="5"/>
  <c r="S25" i="5"/>
  <c r="R25" i="5"/>
  <c r="N25" i="5"/>
  <c r="P25" i="5"/>
  <c r="O25" i="5"/>
  <c r="K25" i="5"/>
  <c r="M25" i="5"/>
  <c r="L25" i="5"/>
  <c r="H25" i="5"/>
  <c r="J25" i="5"/>
  <c r="I25" i="5"/>
  <c r="E25" i="5"/>
  <c r="G25" i="5"/>
  <c r="F25" i="5"/>
  <c r="T24" i="5"/>
  <c r="V24" i="5"/>
  <c r="U24" i="5"/>
  <c r="Q24" i="5"/>
  <c r="S24" i="5"/>
  <c r="R24" i="5"/>
  <c r="N24" i="5"/>
  <c r="P24" i="5"/>
  <c r="O24" i="5"/>
  <c r="K24" i="5"/>
  <c r="M24" i="5"/>
  <c r="L24" i="5"/>
  <c r="H24" i="5"/>
  <c r="J24" i="5"/>
  <c r="I24" i="5"/>
  <c r="E24" i="5"/>
  <c r="G24" i="5"/>
  <c r="F24" i="5"/>
  <c r="T23" i="5"/>
  <c r="V23" i="5"/>
  <c r="U23" i="5"/>
  <c r="Q23" i="5"/>
  <c r="S23" i="5"/>
  <c r="R23" i="5"/>
  <c r="N23" i="5"/>
  <c r="P23" i="5"/>
  <c r="O23" i="5"/>
  <c r="K23" i="5"/>
  <c r="M23" i="5"/>
  <c r="L23" i="5"/>
  <c r="H23" i="5"/>
  <c r="J23" i="5"/>
  <c r="I23" i="5"/>
  <c r="E23" i="5"/>
  <c r="G23" i="5"/>
  <c r="F23" i="5"/>
  <c r="T22" i="5"/>
  <c r="V22" i="5"/>
  <c r="U22" i="5"/>
  <c r="Q22" i="5"/>
  <c r="S22" i="5"/>
  <c r="R22" i="5"/>
  <c r="N22" i="5"/>
  <c r="P22" i="5"/>
  <c r="O22" i="5"/>
  <c r="K22" i="5"/>
  <c r="M22" i="5"/>
  <c r="L22" i="5"/>
  <c r="H22" i="5"/>
  <c r="J22" i="5"/>
  <c r="I22" i="5"/>
  <c r="E22" i="5"/>
  <c r="G22" i="5"/>
  <c r="F22" i="5"/>
  <c r="T21" i="5"/>
  <c r="V21" i="5"/>
  <c r="U21" i="5"/>
  <c r="Q21" i="5"/>
  <c r="S21" i="5"/>
  <c r="R21" i="5"/>
  <c r="N21" i="5"/>
  <c r="P21" i="5"/>
  <c r="O21" i="5"/>
  <c r="K21" i="5"/>
  <c r="M21" i="5"/>
  <c r="L21" i="5"/>
  <c r="H21" i="5"/>
  <c r="J21" i="5"/>
  <c r="I21" i="5"/>
  <c r="E21" i="5"/>
  <c r="G21" i="5"/>
  <c r="F21" i="5"/>
  <c r="T20" i="5"/>
  <c r="V20" i="5"/>
  <c r="U20" i="5"/>
  <c r="Q20" i="5"/>
  <c r="S20" i="5"/>
  <c r="R20" i="5"/>
  <c r="N20" i="5"/>
  <c r="P20" i="5"/>
  <c r="O20" i="5"/>
  <c r="K20" i="5"/>
  <c r="M20" i="5"/>
  <c r="L20" i="5"/>
  <c r="H20" i="5"/>
  <c r="J20" i="5"/>
  <c r="I20" i="5"/>
  <c r="E20" i="5"/>
  <c r="G20" i="5"/>
  <c r="F20" i="5"/>
  <c r="T19" i="5"/>
  <c r="V19" i="5"/>
  <c r="U19" i="5"/>
  <c r="Q19" i="5"/>
  <c r="S19" i="5"/>
  <c r="R19" i="5"/>
  <c r="N19" i="5"/>
  <c r="P19" i="5"/>
  <c r="O19" i="5"/>
  <c r="K19" i="5"/>
  <c r="M19" i="5"/>
  <c r="L19" i="5"/>
  <c r="H19" i="5"/>
  <c r="J19" i="5"/>
  <c r="I19" i="5"/>
  <c r="E19" i="5"/>
  <c r="G19" i="5"/>
  <c r="F19" i="5"/>
  <c r="T18" i="5"/>
  <c r="V18" i="5"/>
  <c r="U18" i="5"/>
  <c r="Q18" i="5"/>
  <c r="S18" i="5"/>
  <c r="R18" i="5"/>
  <c r="N18" i="5"/>
  <c r="P18" i="5"/>
  <c r="O18" i="5"/>
  <c r="K18" i="5"/>
  <c r="M18" i="5"/>
  <c r="L18" i="5"/>
  <c r="H18" i="5"/>
  <c r="J18" i="5"/>
  <c r="I18" i="5"/>
  <c r="E18" i="5"/>
  <c r="G18" i="5"/>
  <c r="F18" i="5"/>
  <c r="T17" i="5"/>
  <c r="V17" i="5"/>
  <c r="U17" i="5"/>
  <c r="Q17" i="5"/>
  <c r="S17" i="5"/>
  <c r="R17" i="5"/>
  <c r="N17" i="5"/>
  <c r="P17" i="5"/>
  <c r="O17" i="5"/>
  <c r="K17" i="5"/>
  <c r="M17" i="5"/>
  <c r="L17" i="5"/>
  <c r="H17" i="5"/>
  <c r="J17" i="5"/>
  <c r="I17" i="5"/>
  <c r="E17" i="5"/>
  <c r="G17" i="5"/>
  <c r="F17" i="5"/>
  <c r="T16" i="5"/>
  <c r="V16" i="5"/>
  <c r="U16" i="5"/>
  <c r="Q16" i="5"/>
  <c r="S16" i="5"/>
  <c r="R16" i="5"/>
  <c r="N16" i="5"/>
  <c r="P16" i="5"/>
  <c r="O16" i="5"/>
  <c r="K16" i="5"/>
  <c r="M16" i="5"/>
  <c r="L16" i="5"/>
  <c r="H16" i="5"/>
  <c r="J16" i="5"/>
  <c r="I16" i="5"/>
  <c r="E16" i="5"/>
  <c r="G16" i="5"/>
  <c r="F16" i="5"/>
  <c r="T15" i="5"/>
  <c r="V15" i="5"/>
  <c r="U15" i="5"/>
  <c r="Q15" i="5"/>
  <c r="S15" i="5"/>
  <c r="R15" i="5"/>
  <c r="N15" i="5"/>
  <c r="P15" i="5"/>
  <c r="O15" i="5"/>
  <c r="K15" i="5"/>
  <c r="M15" i="5"/>
  <c r="L15" i="5"/>
  <c r="H15" i="5"/>
  <c r="J15" i="5"/>
  <c r="I15" i="5"/>
  <c r="E15" i="5"/>
  <c r="G15" i="5"/>
  <c r="F15" i="5"/>
  <c r="T14" i="5"/>
  <c r="V14" i="5"/>
  <c r="U14" i="5"/>
  <c r="Q14" i="5"/>
  <c r="S14" i="5"/>
  <c r="R14" i="5"/>
  <c r="N14" i="5"/>
  <c r="P14" i="5"/>
  <c r="O14" i="5"/>
  <c r="K14" i="5"/>
  <c r="M14" i="5"/>
  <c r="L14" i="5"/>
  <c r="H14" i="5"/>
  <c r="J14" i="5"/>
  <c r="I14" i="5"/>
  <c r="E14" i="5"/>
  <c r="G14" i="5"/>
  <c r="F14" i="5"/>
  <c r="T13" i="5"/>
  <c r="V13" i="5"/>
  <c r="U13" i="5"/>
  <c r="Q13" i="5"/>
  <c r="S13" i="5"/>
  <c r="R13" i="5"/>
  <c r="N13" i="5"/>
  <c r="P13" i="5"/>
  <c r="O13" i="5"/>
  <c r="K13" i="5"/>
  <c r="M13" i="5"/>
  <c r="L13" i="5"/>
  <c r="H13" i="5"/>
  <c r="J13" i="5"/>
  <c r="I13" i="5"/>
  <c r="E13" i="5"/>
  <c r="G13" i="5"/>
  <c r="F13" i="5"/>
  <c r="T12" i="5"/>
  <c r="V12" i="5"/>
  <c r="U12" i="5"/>
  <c r="Q12" i="5"/>
  <c r="S12" i="5"/>
  <c r="R12" i="5"/>
  <c r="N12" i="5"/>
  <c r="P12" i="5"/>
  <c r="O12" i="5"/>
  <c r="K12" i="5"/>
  <c r="M12" i="5"/>
  <c r="L12" i="5"/>
  <c r="H12" i="5"/>
  <c r="J12" i="5"/>
  <c r="I12" i="5"/>
  <c r="E12" i="5"/>
  <c r="G12" i="5"/>
  <c r="F12" i="5"/>
  <c r="T11" i="5"/>
  <c r="V11" i="5"/>
  <c r="U11" i="5"/>
  <c r="Q11" i="5"/>
  <c r="S11" i="5"/>
  <c r="R11" i="5"/>
  <c r="N11" i="5"/>
  <c r="P11" i="5"/>
  <c r="O11" i="5"/>
  <c r="K11" i="5"/>
  <c r="M11" i="5"/>
  <c r="L11" i="5"/>
  <c r="H11" i="5"/>
  <c r="J11" i="5"/>
  <c r="I11" i="5"/>
  <c r="E11" i="5"/>
  <c r="G11" i="5"/>
  <c r="F11" i="5"/>
  <c r="T10" i="5"/>
  <c r="V10" i="5"/>
  <c r="U10" i="5"/>
  <c r="Q10" i="5"/>
  <c r="S10" i="5"/>
  <c r="R10" i="5"/>
  <c r="N10" i="5"/>
  <c r="P10" i="5"/>
  <c r="O10" i="5"/>
  <c r="K10" i="5"/>
  <c r="M10" i="5"/>
  <c r="L10" i="5"/>
  <c r="H10" i="5"/>
  <c r="J10" i="5"/>
  <c r="I10" i="5"/>
  <c r="E10" i="5"/>
  <c r="G10" i="5"/>
  <c r="F10" i="5"/>
  <c r="T9" i="5"/>
  <c r="V9" i="5"/>
  <c r="U9" i="5"/>
  <c r="Q9" i="5"/>
  <c r="S9" i="5"/>
  <c r="R9" i="5"/>
  <c r="N9" i="5"/>
  <c r="P9" i="5"/>
  <c r="O9" i="5"/>
  <c r="K9" i="5"/>
  <c r="M9" i="5"/>
  <c r="L9" i="5"/>
  <c r="H9" i="5"/>
  <c r="J9" i="5"/>
  <c r="I9" i="5"/>
  <c r="E9" i="5"/>
  <c r="G9" i="5"/>
  <c r="F9" i="5"/>
  <c r="T8" i="5"/>
  <c r="V8" i="5"/>
  <c r="U8" i="5"/>
  <c r="Q8" i="5"/>
  <c r="S8" i="5"/>
  <c r="R8" i="5"/>
  <c r="N8" i="5"/>
  <c r="P8" i="5"/>
  <c r="O8" i="5"/>
  <c r="K8" i="5"/>
  <c r="M8" i="5"/>
  <c r="L8" i="5"/>
  <c r="H8" i="5"/>
  <c r="J8" i="5"/>
  <c r="I8" i="5"/>
  <c r="E8" i="5"/>
  <c r="G8" i="5"/>
  <c r="F8" i="5"/>
  <c r="T7" i="5"/>
  <c r="V7" i="5"/>
  <c r="U7" i="5"/>
  <c r="Q7" i="5"/>
  <c r="S7" i="5"/>
  <c r="R7" i="5"/>
  <c r="N7" i="5"/>
  <c r="P7" i="5"/>
  <c r="O7" i="5"/>
  <c r="K7" i="5"/>
  <c r="M7" i="5"/>
  <c r="L7" i="5"/>
  <c r="H7" i="5"/>
  <c r="J7" i="5"/>
  <c r="I7" i="5"/>
  <c r="E7" i="5"/>
  <c r="G7" i="5"/>
  <c r="F7" i="5"/>
  <c r="T6" i="5"/>
  <c r="V6" i="5"/>
  <c r="U6" i="5"/>
  <c r="Q6" i="5"/>
  <c r="S6" i="5"/>
  <c r="R6" i="5"/>
  <c r="N6" i="5"/>
  <c r="P6" i="5"/>
  <c r="O6" i="5"/>
  <c r="K6" i="5"/>
  <c r="M6" i="5"/>
  <c r="L6" i="5"/>
  <c r="H6" i="5"/>
  <c r="J6" i="5"/>
  <c r="I6" i="5"/>
  <c r="E6" i="5"/>
  <c r="G6" i="5"/>
  <c r="F6" i="5"/>
  <c r="T5" i="5"/>
  <c r="V5" i="5"/>
  <c r="U5" i="5"/>
  <c r="Q5" i="5"/>
  <c r="S5" i="5"/>
  <c r="R5" i="5"/>
  <c r="N5" i="5"/>
  <c r="P5" i="5"/>
  <c r="O5" i="5"/>
  <c r="K5" i="5"/>
  <c r="M5" i="5"/>
  <c r="L5" i="5"/>
  <c r="H5" i="5"/>
  <c r="J5" i="5"/>
  <c r="I5" i="5"/>
  <c r="E5" i="5"/>
  <c r="G5" i="5"/>
  <c r="F5" i="5"/>
  <c r="T4" i="5"/>
  <c r="V4" i="5"/>
  <c r="U4" i="5"/>
  <c r="Q4" i="5"/>
  <c r="S4" i="5"/>
  <c r="R4" i="5"/>
  <c r="N4" i="5"/>
  <c r="P4" i="5"/>
  <c r="O4" i="5"/>
  <c r="K4" i="5"/>
  <c r="M4" i="5"/>
  <c r="L4" i="5"/>
  <c r="H4" i="5"/>
  <c r="J4" i="5"/>
  <c r="I4" i="5"/>
  <c r="E4" i="5"/>
  <c r="G4" i="5"/>
  <c r="F4" i="5"/>
  <c r="T3" i="5"/>
  <c r="V3" i="5"/>
  <c r="U3" i="5"/>
  <c r="Q3" i="5"/>
  <c r="S3" i="5"/>
  <c r="R3" i="5"/>
  <c r="N3" i="5"/>
  <c r="P3" i="5"/>
  <c r="O3" i="5"/>
  <c r="K3" i="5"/>
  <c r="M3" i="5"/>
  <c r="L3" i="5"/>
  <c r="H3" i="5"/>
  <c r="J3" i="5"/>
  <c r="I3" i="5"/>
  <c r="E3" i="5"/>
  <c r="G3" i="5"/>
  <c r="F3" i="5"/>
  <c r="T2" i="5"/>
  <c r="V2" i="5"/>
  <c r="U2" i="5"/>
  <c r="Q2" i="5"/>
  <c r="S2" i="5"/>
  <c r="R2" i="5"/>
  <c r="N2" i="5"/>
  <c r="P2" i="5"/>
  <c r="O2" i="5"/>
  <c r="K2" i="5"/>
  <c r="M2" i="5"/>
  <c r="L2" i="5"/>
  <c r="H2" i="5"/>
  <c r="J2" i="5"/>
  <c r="I2" i="5"/>
  <c r="E2" i="5"/>
  <c r="G2" i="5"/>
  <c r="F2" i="5"/>
  <c r="D61" i="4"/>
  <c r="D60" i="4"/>
  <c r="D59" i="4"/>
  <c r="D58" i="4"/>
  <c r="D57" i="4"/>
  <c r="D55" i="4"/>
  <c r="D54" i="4"/>
  <c r="D53" i="4"/>
  <c r="D52" i="4"/>
  <c r="D51" i="4"/>
  <c r="D49" i="4"/>
  <c r="D48" i="4"/>
  <c r="D47" i="4"/>
  <c r="D46" i="4"/>
  <c r="D45" i="4"/>
  <c r="D43" i="4"/>
  <c r="D42" i="4"/>
  <c r="D41" i="4"/>
  <c r="D40" i="4"/>
  <c r="D39" i="4"/>
  <c r="D37" i="4"/>
  <c r="D36" i="4"/>
  <c r="D35" i="4"/>
  <c r="D34" i="4"/>
  <c r="D33" i="4"/>
  <c r="D31" i="4"/>
  <c r="D30" i="4"/>
  <c r="D29" i="4"/>
  <c r="D28" i="4"/>
  <c r="D27" i="4"/>
  <c r="D25" i="4"/>
  <c r="D24" i="4"/>
  <c r="D23" i="4"/>
  <c r="D22" i="4"/>
  <c r="D21" i="4"/>
  <c r="D19" i="4"/>
  <c r="D18" i="4"/>
  <c r="D17" i="4"/>
  <c r="D16" i="4"/>
  <c r="D15" i="4"/>
  <c r="D12" i="4"/>
  <c r="D11" i="4"/>
  <c r="D10" i="4"/>
  <c r="D9" i="4"/>
  <c r="D8" i="4"/>
  <c r="H7" i="4"/>
  <c r="M6" i="4"/>
  <c r="H6" i="4"/>
  <c r="D6" i="4"/>
  <c r="M5" i="4"/>
  <c r="H5" i="4"/>
  <c r="D5" i="4"/>
  <c r="M4" i="4"/>
  <c r="H4" i="4"/>
  <c r="D4" i="4"/>
  <c r="M3" i="4"/>
  <c r="H3" i="4"/>
  <c r="D3" i="4"/>
  <c r="M2" i="4"/>
  <c r="H2" i="4"/>
  <c r="D2" i="4"/>
  <c r="A37" i="3"/>
  <c r="A36" i="3"/>
  <c r="A35" i="3"/>
  <c r="A34" i="3"/>
  <c r="B6" i="3"/>
  <c r="C6" i="3"/>
  <c r="D6" i="3"/>
  <c r="E6" i="3"/>
  <c r="F6" i="3"/>
  <c r="G6" i="3"/>
  <c r="H6" i="3"/>
  <c r="B7" i="3"/>
  <c r="C7" i="3"/>
  <c r="D7" i="3"/>
  <c r="E7" i="3"/>
  <c r="F7" i="3"/>
  <c r="G7" i="3"/>
  <c r="H7" i="3"/>
  <c r="B8" i="3"/>
  <c r="C8" i="3"/>
  <c r="D8" i="3"/>
  <c r="E8" i="3"/>
  <c r="F8" i="3"/>
  <c r="G8" i="3"/>
  <c r="H8" i="3"/>
  <c r="B9" i="3"/>
  <c r="C9" i="3"/>
  <c r="D9" i="3"/>
  <c r="E9" i="3"/>
  <c r="F9" i="3"/>
  <c r="G9" i="3"/>
  <c r="H9" i="3"/>
  <c r="B10" i="3"/>
  <c r="C10" i="3"/>
  <c r="D10" i="3"/>
  <c r="E10" i="3"/>
  <c r="F10" i="3"/>
  <c r="G10" i="3"/>
  <c r="H10" i="3"/>
  <c r="B11" i="3"/>
  <c r="C11" i="3"/>
  <c r="D11" i="3"/>
  <c r="E11" i="3"/>
  <c r="F11" i="3"/>
  <c r="G11" i="3"/>
  <c r="H11" i="3"/>
  <c r="B12" i="3"/>
  <c r="C12" i="3"/>
  <c r="D12" i="3"/>
  <c r="E12" i="3"/>
  <c r="F12" i="3"/>
  <c r="G12" i="3"/>
  <c r="H12" i="3"/>
  <c r="H13" i="3"/>
  <c r="B33" i="3"/>
  <c r="A33" i="3"/>
  <c r="A31" i="3"/>
  <c r="A30" i="3"/>
  <c r="D27" i="3"/>
  <c r="E27" i="3"/>
  <c r="C27" i="3"/>
  <c r="B27" i="3"/>
  <c r="A27" i="3"/>
  <c r="D26" i="3"/>
  <c r="E26" i="3"/>
  <c r="C26" i="3"/>
  <c r="B26" i="3"/>
  <c r="A26" i="3"/>
  <c r="D25" i="3"/>
  <c r="E25" i="3"/>
  <c r="C25" i="3"/>
  <c r="B25" i="3"/>
  <c r="A25" i="3"/>
  <c r="D24" i="3"/>
  <c r="E24" i="3"/>
  <c r="C24" i="3"/>
  <c r="B24" i="3"/>
  <c r="A24" i="3"/>
  <c r="D23" i="3"/>
  <c r="E23" i="3"/>
  <c r="C23" i="3"/>
  <c r="B23" i="3"/>
  <c r="A23" i="3"/>
  <c r="D22" i="3"/>
  <c r="E22" i="3"/>
  <c r="C22" i="3"/>
  <c r="B22" i="3"/>
  <c r="A22" i="3"/>
  <c r="D21" i="3"/>
  <c r="E21" i="3"/>
  <c r="C21" i="3"/>
  <c r="B21" i="3"/>
  <c r="A21" i="3"/>
  <c r="E20" i="3"/>
  <c r="D20" i="3"/>
  <c r="C20" i="3"/>
  <c r="B20" i="3"/>
  <c r="A20" i="3"/>
  <c r="D18" i="3"/>
  <c r="B5" i="3"/>
  <c r="C5" i="3"/>
  <c r="D5" i="3"/>
  <c r="E5" i="3"/>
  <c r="F5" i="3"/>
  <c r="G5" i="3"/>
  <c r="C18" i="3"/>
  <c r="A18" i="3"/>
  <c r="A17" i="3"/>
  <c r="H14" i="3"/>
  <c r="G13" i="3"/>
  <c r="G14" i="3"/>
  <c r="F13" i="3"/>
  <c r="F14" i="3"/>
  <c r="E13" i="3"/>
  <c r="E14" i="3"/>
  <c r="D13" i="3"/>
  <c r="D14" i="3"/>
  <c r="C13" i="3"/>
  <c r="C14" i="3"/>
  <c r="B13" i="3"/>
  <c r="B14" i="3"/>
  <c r="A14" i="3"/>
  <c r="A13" i="3"/>
  <c r="A12" i="3"/>
  <c r="A11" i="3"/>
  <c r="A10" i="3"/>
  <c r="A9" i="3"/>
  <c r="A8" i="3"/>
  <c r="A7" i="3"/>
  <c r="A6" i="3"/>
  <c r="H5" i="3"/>
  <c r="A5" i="3"/>
  <c r="A4" i="3"/>
  <c r="A2" i="3"/>
  <c r="C50" i="2"/>
  <c r="B50" i="2"/>
  <c r="C49" i="2"/>
  <c r="B49" i="2"/>
  <c r="C48" i="2"/>
  <c r="B48" i="2"/>
  <c r="C47" i="2"/>
  <c r="B47" i="2"/>
  <c r="C46" i="2"/>
  <c r="B46" i="2"/>
  <c r="A45" i="2"/>
  <c r="C44" i="2"/>
  <c r="B44" i="2"/>
  <c r="C43" i="2"/>
  <c r="B43" i="2"/>
  <c r="C42" i="2"/>
  <c r="B42" i="2"/>
  <c r="C41" i="2"/>
  <c r="B41" i="2"/>
  <c r="C40" i="2"/>
  <c r="B40" i="2"/>
  <c r="A39" i="2"/>
  <c r="C38" i="2"/>
  <c r="B38" i="2"/>
  <c r="C37" i="2"/>
  <c r="B37" i="2"/>
  <c r="C36" i="2"/>
  <c r="B36" i="2"/>
  <c r="C35" i="2"/>
  <c r="B35" i="2"/>
  <c r="C34" i="2"/>
  <c r="B34" i="2"/>
  <c r="A33" i="2"/>
  <c r="C32" i="2"/>
  <c r="B32" i="2"/>
  <c r="C31" i="2"/>
  <c r="B31" i="2"/>
  <c r="C30" i="2"/>
  <c r="B30" i="2"/>
  <c r="C29" i="2"/>
  <c r="B29" i="2"/>
  <c r="C28" i="2"/>
  <c r="B28" i="2"/>
  <c r="A27" i="2"/>
  <c r="C26" i="2"/>
  <c r="B26" i="2"/>
  <c r="C25" i="2"/>
  <c r="B25" i="2"/>
  <c r="C24" i="2"/>
  <c r="B24" i="2"/>
  <c r="C23" i="2"/>
  <c r="B23" i="2"/>
  <c r="C22" i="2"/>
  <c r="B22" i="2"/>
  <c r="A21" i="2"/>
  <c r="C20" i="2"/>
  <c r="B20" i="2"/>
  <c r="C19" i="2"/>
  <c r="B19" i="2"/>
  <c r="C18" i="2"/>
  <c r="B18" i="2"/>
  <c r="C17" i="2"/>
  <c r="B17" i="2"/>
  <c r="C16" i="2"/>
  <c r="B16" i="2"/>
  <c r="A15" i="2"/>
  <c r="C14" i="2"/>
  <c r="B14" i="2"/>
  <c r="C13" i="2"/>
  <c r="B13" i="2"/>
  <c r="C12" i="2"/>
  <c r="B12" i="2"/>
  <c r="C11" i="2"/>
  <c r="B11" i="2"/>
  <c r="C10" i="2"/>
  <c r="B10" i="2"/>
  <c r="A9" i="2"/>
  <c r="C8" i="2"/>
  <c r="B8" i="2"/>
  <c r="C6" i="2"/>
  <c r="A6" i="2"/>
  <c r="C5" i="2"/>
  <c r="A5" i="2"/>
  <c r="A3" i="2"/>
  <c r="E2" i="2"/>
  <c r="A19" i="1"/>
  <c r="A17" i="1"/>
  <c r="A15" i="1"/>
  <c r="A14" i="1"/>
  <c r="A13" i="1"/>
  <c r="A12" i="1"/>
  <c r="A11" i="1"/>
  <c r="A10" i="1"/>
  <c r="E8" i="1"/>
  <c r="D8" i="1"/>
  <c r="C8" i="1"/>
  <c r="B8" i="1"/>
  <c r="A8" i="1"/>
  <c r="A5" i="1"/>
  <c r="A4" i="1"/>
</calcChain>
</file>

<file path=xl/sharedStrings.xml><?xml version="1.0" encoding="utf-8"?>
<sst xmlns="http://schemas.openxmlformats.org/spreadsheetml/2006/main" count="290" uniqueCount="222">
  <si>
    <t>NewsIntelligence.ai</t>
  </si>
  <si>
    <t>Information Governance Assessment for Newsrooms</t>
  </si>
  <si>
    <t>35</t>
  </si>
  <si>
    <t>7</t>
  </si>
  <si>
    <t>~5</t>
  </si>
  <si>
    <t>5</t>
  </si>
  <si>
    <t>6</t>
  </si>
  <si>
    <t>NewsIntelligence.ai   —   Information Governance Assessment</t>
  </si>
  <si>
    <t>Language / Taal</t>
  </si>
  <si>
    <t>ID</t>
  </si>
  <si>
    <t>R1</t>
  </si>
  <si>
    <t>R2</t>
  </si>
  <si>
    <t>R3</t>
  </si>
  <si>
    <t>R4</t>
  </si>
  <si>
    <t>R5</t>
  </si>
  <si>
    <t>R6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</si>
  <si>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</si>
  <si>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</si>
  <si>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</si>
  <si>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</si>
  <si>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</si>
  <si>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</si>
  <si>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</si>
  <si>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</si>
  <si>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</si>
  <si>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</si>
  <si>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</si>
  <si>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</si>
  <si>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</si>
  <si>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</si>
  <si>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</si>
  <si>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</si>
  <si>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</si>
  <si>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</si>
  <si>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</si>
  <si>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</si>
  <si>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</si>
  <si>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</si>
  <si>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</si>
  <si>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</si>
  <si>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</si>
  <si>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</si>
  <si>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</si>
  <si>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</si>
  <si>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</si>
  <si>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</si>
  <si>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</si>
  <si>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</si>
  <si>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</si>
  <si>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</si>
  <si>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</si>
  <si>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NewsIntelligence.ai   —   Executive Dashboard</t>
  </si>
  <si>
    <t>REF · lookup tables (do not edit)</t>
  </si>
  <si>
    <t>Strongly disagree</t>
  </si>
  <si>
    <t>Zeer oneens</t>
  </si>
  <si>
    <t>Editor-in-Chief</t>
  </si>
  <si>
    <t>Hoofdredacteur</t>
  </si>
  <si>
    <t>Awareness</t>
  </si>
  <si>
    <t>Bewustwording</t>
  </si>
  <si>
    <t>Disagree</t>
  </si>
  <si>
    <t>Oneens</t>
  </si>
  <si>
    <t>Publisher</t>
  </si>
  <si>
    <t>Uitgever</t>
  </si>
  <si>
    <t>Experimentation</t>
  </si>
  <si>
    <t>Experimenteren</t>
  </si>
  <si>
    <t>Neutral</t>
  </si>
  <si>
    <t>Neutraal</t>
  </si>
  <si>
    <t>CEO</t>
  </si>
  <si>
    <t>Structured Governance</t>
  </si>
  <si>
    <t>Gestructureerde governance</t>
  </si>
  <si>
    <t>Agree</t>
  </si>
  <si>
    <t>Eens</t>
  </si>
  <si>
    <t>CTO</t>
  </si>
  <si>
    <t>Integrated Governance</t>
  </si>
  <si>
    <t>Geïntegreerde governance</t>
  </si>
  <si>
    <t>Strongly agree</t>
  </si>
  <si>
    <t>Zeer eens</t>
  </si>
  <si>
    <t>Editorial Innovation Lead</t>
  </si>
  <si>
    <t>Hoofd redactionele innovatie</t>
  </si>
  <si>
    <t>Strategic Leadership</t>
  </si>
  <si>
    <t>Strategisch leiderschap</t>
  </si>
  <si>
    <t>Board / Supervisory Member</t>
  </si>
  <si>
    <t>Lid raad van toezicht/bestuur</t>
  </si>
  <si>
    <t>No</t>
  </si>
  <si>
    <t>Nee</t>
  </si>
  <si>
    <t>Partly</t>
  </si>
  <si>
    <t>Deels</t>
  </si>
  <si>
    <t>Yes</t>
  </si>
  <si>
    <t>Ja</t>
  </si>
  <si>
    <t>Documented</t>
  </si>
  <si>
    <t>Gedocumenteerd</t>
  </si>
  <si>
    <t>Documented &amp; regularly reviewed</t>
  </si>
  <si>
    <t>Gedocumenteerd &amp; regelmatig herzien</t>
  </si>
  <si>
    <t>1.2.0</t>
  </si>
  <si>
    <t>Never assessed</t>
  </si>
  <si>
    <t>Nooit beoordeeld</t>
  </si>
  <si>
    <t>1.2.1</t>
  </si>
  <si>
    <t>One vendor supplies most, unexamined</t>
  </si>
  <si>
    <t>Één leverancier levert het meeste, onbekeken</t>
  </si>
  <si>
    <t>1.2.2</t>
  </si>
  <si>
    <t>Concentration known but unmanaged</t>
  </si>
  <si>
    <t>Bekend maar onbeheerd</t>
  </si>
  <si>
    <t>1.2.3</t>
  </si>
  <si>
    <t>Concentration known and actively managed</t>
  </si>
  <si>
    <t>Bekend en actief beheerd</t>
  </si>
  <si>
    <t>1.2.4</t>
  </si>
  <si>
    <t>Deliberately diversified, with owners</t>
  </si>
  <si>
    <t>Bewust gespreid, met eigenaren</t>
  </si>
  <si>
    <t>2.5.0</t>
  </si>
  <si>
    <t>Absent</t>
  </si>
  <si>
    <t>Afwezig</t>
  </si>
  <si>
    <t>2.5.1</t>
  </si>
  <si>
    <t>A few individuals experiment</t>
  </si>
  <si>
    <t>Enkelen experimenteren</t>
  </si>
  <si>
    <t>2.5.2</t>
  </si>
  <si>
    <t>Used ad hoc across desks</t>
  </si>
  <si>
    <t>Ad hoc over desks</t>
  </si>
  <si>
    <t>2.5.3</t>
  </si>
  <si>
    <t>An established shared capability</t>
  </si>
  <si>
    <t>Gevestigde gedeelde capaciteit</t>
  </si>
  <si>
    <t>2.5.4</t>
  </si>
  <si>
    <t>A resourced function with dedicated skills</t>
  </si>
  <si>
    <t>Belegde functie met eigen expertise</t>
  </si>
  <si>
    <t>3.4.0</t>
  </si>
  <si>
    <t>Not monitored</t>
  </si>
  <si>
    <t>Niet gemonitord</t>
  </si>
  <si>
    <t>3.4.1</t>
  </si>
  <si>
    <t>Informal impressions only</t>
  </si>
  <si>
    <t>Alleen informele indrukken</t>
  </si>
  <si>
    <t>3.4.2</t>
  </si>
  <si>
    <t>Occasional manual review</t>
  </si>
  <si>
    <t>Incidentele handmatige review</t>
  </si>
  <si>
    <t>3.4.3</t>
  </si>
  <si>
    <t>Regular structured review</t>
  </si>
  <si>
    <t>Regelmatige gestructureerde review</t>
  </si>
  <si>
    <t>3.4.4</t>
  </si>
  <si>
    <t>Measured against the wider field</t>
  </si>
  <si>
    <t>Afgezet tegen het bredere veld</t>
  </si>
  <si>
    <t>4.2.0</t>
  </si>
  <si>
    <t>Not considered</t>
  </si>
  <si>
    <t>Niet overwogen</t>
  </si>
  <si>
    <t>4.2.1</t>
  </si>
  <si>
    <t>Treated as a black box</t>
  </si>
  <si>
    <t>Black box</t>
  </si>
  <si>
    <t>4.2.2</t>
  </si>
  <si>
    <t>Some understanding, undocumented</t>
  </si>
  <si>
    <t>Enig begrip, ongedocumenteerd</t>
  </si>
  <si>
    <t>4.2.3</t>
  </si>
  <si>
    <t>Understood and documented</t>
  </si>
  <si>
    <t>Begrepen &amp; gedocumenteerd</t>
  </si>
  <si>
    <t>4.2.4</t>
  </si>
  <si>
    <t>Understood, documented and monitored</t>
  </si>
  <si>
    <t>Gedocumenteerd &amp; gemonitord</t>
  </si>
  <si>
    <t>5.5.0</t>
  </si>
  <si>
    <t>Lost each time</t>
  </si>
  <si>
    <t>Telkens verloren</t>
  </si>
  <si>
    <t>5.5.1</t>
  </si>
  <si>
    <t>Partly retained informally</t>
  </si>
  <si>
    <t>Deels informeel behouden</t>
  </si>
  <si>
    <t>5.5.2</t>
  </si>
  <si>
    <t>Retained by individuals</t>
  </si>
  <si>
    <t>Behouden door individuen</t>
  </si>
  <si>
    <t>5.5.3</t>
  </si>
  <si>
    <t>Documented and transferred</t>
  </si>
  <si>
    <t>Gedocumenteerd &amp; overgedragen</t>
  </si>
  <si>
    <t>5.5.4</t>
  </si>
  <si>
    <t>Versioned and actively preserved</t>
  </si>
  <si>
    <t>Geversioneerd &amp; actief behouden</t>
  </si>
  <si>
    <t>6.5.0</t>
  </si>
  <si>
    <t>None</t>
  </si>
  <si>
    <t>Geen</t>
  </si>
  <si>
    <t>6.5.1</t>
  </si>
  <si>
    <t>Informal awareness</t>
  </si>
  <si>
    <t>Informeel besef</t>
  </si>
  <si>
    <t>6.5.2</t>
  </si>
  <si>
    <t>Documented for some systems</t>
  </si>
  <si>
    <t>Gedocumenteerd voor sommige</t>
  </si>
  <si>
    <t>6.5.3</t>
  </si>
  <si>
    <t>Documented and owned</t>
  </si>
  <si>
    <t>Gedocumenteerd &amp; belegd</t>
  </si>
  <si>
    <t>6.5.4</t>
  </si>
  <si>
    <t>Documented, owned and rehearsed</t>
  </si>
  <si>
    <t>Gedocumenteerd, belegd &amp; beoefend</t>
  </si>
  <si>
    <t>7.1.0</t>
  </si>
  <si>
    <t>Nobody</t>
  </si>
  <si>
    <t>Niemand</t>
  </si>
  <si>
    <t>7.1.1</t>
  </si>
  <si>
    <t>Individual initiative</t>
  </si>
  <si>
    <t>Individueel initiatief</t>
  </si>
  <si>
    <t>7.1.2</t>
  </si>
  <si>
    <t>Technology function</t>
  </si>
  <si>
    <t>Technologiefunctie</t>
  </si>
  <si>
    <t>7.1.3</t>
  </si>
  <si>
    <t>Editorial and technology jointly</t>
  </si>
  <si>
    <t>Redactie &amp; technologie samen</t>
  </si>
  <si>
    <t>7.1.4</t>
  </si>
  <si>
    <t>Executive leadership, with a named owner</t>
  </si>
  <si>
    <t>Directie, met benoemde eigenaar</t>
  </si>
  <si>
    <t>7.4.0</t>
  </si>
  <si>
    <t>Never</t>
  </si>
  <si>
    <t>Nooit</t>
  </si>
  <si>
    <t>7.4.1</t>
  </si>
  <si>
    <t>Only after incidents</t>
  </si>
  <si>
    <t>Alleen na incidenten</t>
  </si>
  <si>
    <t>7.4.2</t>
  </si>
  <si>
    <t>Occasionally</t>
  </si>
  <si>
    <t>Af en toe</t>
  </si>
  <si>
    <t>7.4.3</t>
  </si>
  <si>
    <t>On a regular schedule</t>
  </si>
  <si>
    <t>Op een vast schema</t>
  </si>
  <si>
    <t>7.4.4</t>
  </si>
  <si>
    <t>Regularly, integrated with financial &amp; cyber risk</t>
  </si>
  <si>
    <t>Regelmatig, geïntegreerd met financieel &amp; cyberrisico</t>
  </si>
  <si>
    <t>qid</t>
  </si>
  <si>
    <t>dom</t>
  </si>
  <si>
    <t>type</t>
  </si>
  <si>
    <t>weight</t>
  </si>
  <si>
    <t>B</t>
  </si>
  <si>
    <t>C</t>
  </si>
  <si>
    <t>A</t>
  </si>
  <si>
    <t>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</si>
</sst>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9"/>
      <color rgb="FF6B6560"/>
      <name val="Courier New"/>
    </font>
    <font>
      <sz val="17"/>
      <color rgb="FFFCF8EE"/>
      <name val="Georgia"/>
    </font>
    <font>
      <b/>
      <sz val="9"/>
      <color rgb="FF8F4E29"/>
      <name val="Courier New"/>
    </font>
    <font>
      <b/>
      <sz val="12"/>
      <color rgb="FF2A2825"/>
      <name val="Verdana"/>
    </font>
    <font>
      <i/>
      <sz val="11"/>
      <color rgb="FF4A4642"/>
      <name val="Georgia"/>
    </font>
    <font>
      <b/>
      <sz val="10"/>
      <color rgb="FF2A2825"/>
      <name val="Verdana"/>
    </font>
    <font>
      <sz val="9"/>
      <color rgb="FF4A4642"/>
      <name val="Verdana"/>
    </font>
    <font>
      <sz val="8"/>
      <color rgb="FF6B6560"/>
      <name val="Verdana"/>
    </font>
    <font>
      <b/>
      <sz val="9"/>
      <color rgb="FFFCF8EE"/>
      <name val="Courier New"/>
    </font>
    <font>
      <b/>
      <sz val="12"/>
      <color rgb="FF2A2825"/>
      <name val="Georgia"/>
    </font>
    <font>
      <sz val="8"/>
      <color rgb="FF6B6560"/>
      <name val="Courier New"/>
    </font>
    <font>
      <sz val="10"/>
      <color rgb="FF2A2825"/>
      <name val="Verdana"/>
    </font>
    <font>
      <sz val="9"/>
      <color rgb="FF2A2825"/>
      <name val="Verdana"/>
    </font>
    <font>
      <b/>
      <sz val="9"/>
      <color rgb="FF2A2825"/>
      <name val="Courier New"/>
    </font>
    <font>
      <b/>
      <sz val="11"/>
      <color rgb="FF8F4E29"/>
      <name val="Verdana"/>
    </font>
    <font>
      <b/>
      <sz val="8"/>
      <color rgb="FF4A4642"/>
      <name val="Verdana"/>
    </font>
    <font>
      <b/>
      <sz val="22"/>
      <color rgb="FF3C7F8F"/>
      <name val="Georgia"/>
    </font>
    <font>
      <i/>
      <sz val="10"/>
      <color rgb="FF4A4642"/>
      <name val="Georgia"/>
    </font>
    <font>
      <b/>
      <sz val="8"/>
      <color rgb="FFFCF8EE"/>
      <name val="Courier New"/>
    </font>
    <font>
      <b/>
      <sz val="9"/>
      <color rgb="FF6B3A1F"/>
      <name val="Verdana"/>
    </font>
    <font>
      <sz val="1"/>
      <color rgb="FFF0E9DC"/>
      <name val="Calibri"/>
    </font>
    <font>
      <sz val="22"/>
      <color rgb="FFFCF8EE"/>
      <name val="Georgia"/>
    </font>
    <font>
      <b/>
      <sz val="10"/>
      <color rgb="FF8F4E29"/>
      <name val="Courier New"/>
    </font>
    <font>
      <sz val="20"/>
      <color rgb="FF2A2825"/>
      <name val="Georgia"/>
    </font>
    <font>
      <i/>
      <sz val="12"/>
      <color rgb="FF4A4642"/>
      <name val="Georgia"/>
    </font>
    <font>
      <b/>
      <sz val="20"/>
      <color rgb="FF8F4E29"/>
      <name val="Courier New"/>
    </font>
    <font>
      <sz val="10.5"/>
      <color rgb="FF2A2825"/>
      <name val="Verdana"/>
    </font>
    <font>
      <sz val="8.5"/>
      <color rgb="FF6B6560"/>
      <name val="Verdana"/>
    </font>
  </fonts>
  <fills count="10">
    <fill>
      <patternFill patternType="none"/>
    </fill>
    <fill>
      <patternFill patternType="gray125"/>
    </fill>
    <fill>
      <patternFill patternType="solid">
        <fgColor rgb="FF2A2825"/>
      </patternFill>
    </fill>
    <fill>
      <patternFill patternType="solid">
        <fgColor rgb="FFE8B864"/>
      </patternFill>
    </fill>
    <fill>
      <patternFill patternType="solid">
        <fgColor rgb="FFFCF8EE"/>
      </patternFill>
    </fill>
    <fill>
      <patternFill patternType="solid">
        <fgColor rgb="FFF7F1E4"/>
      </patternFill>
    </fill>
    <fill>
      <patternFill patternType="solid">
        <fgColor rgb="FF8F4E29"/>
      </patternFill>
    </fill>
    <fill>
      <patternFill patternType="solid">
        <fgColor rgb="FFE8DFD1"/>
      </patternFill>
    </fill>
    <fill>
      <patternFill patternType="solid">
        <fgColor rgb="FFD4E8EC"/>
      </patternFill>
    </fill>
    <fill>
      <patternFill patternType="solid">
        <fgColor rgb="FF4A4642"/>
      </patternFill>
    </fill>
  </fills>
  <borders count="7">
    <border>
      <left/>
      <right/>
      <top/>
      <bottom/>
      <diagonal/>
    </border>
    <border>
      <left style="thin">
        <color rgb="FFC9C1B2"/>
      </left>
      <right style="thin">
        <color rgb="FFC9C1B2"/>
      </right>
      <top style="thin">
        <color rgb="FFC9C1B2"/>
      </top>
      <bottom style="thin">
        <color rgb="FFC9C1B2"/>
      </bottom>
      <diagonal/>
    </border>
    <border>
      <left style="thin">
        <color rgb="FFE4DED2"/>
      </left>
      <right style="thin">
        <color rgb="FFE4DED2"/>
      </right>
      <top style="thin">
        <color rgb="FFC9C1B2"/>
      </top>
      <bottom style="thin">
        <color rgb="FFC9C1B2"/>
      </bottom>
      <diagonal/>
    </border>
    <border>
      <left style="thin">
        <color rgb="FFE4DED2"/>
      </left>
      <right style="thin">
        <color rgb="FFE4DED2"/>
      </right>
      <top style="thin">
        <color rgb="FFE4DED2"/>
      </top>
      <bottom style="thin">
        <color rgb="FFE4DED2"/>
      </bottom>
      <diagonal/>
    </border>
    <border>
      <left style="thin">
        <color rgb="FFE4DED2"/>
      </left>
      <right style="thin">
        <color rgb="FFE4DED2"/>
      </right>
      <top style="thin">
        <color rgb="FFC9C1B2"/>
      </top>
      <bottom style="thin">
        <color rgb="FFE4DED2"/>
      </bottom>
      <diagonal/>
    </border>
    <border>
      <left style="thin">
        <color rgb="FFE4DED2"/>
      </left>
      <right style="thin">
        <color rgb="FFE4DED2"/>
      </right>
      <top style="thin">
        <color rgb="FFE4DED2"/>
      </top>
      <bottom style="thin">
        <color rgb="FFC9C1B2"/>
      </bottom>
      <diagonal/>
    </border>
    <border>
      <left style="thin">
        <color rgb="FFC9C1B2"/>
      </left>
      <right style="thin">
        <color rgb="FFC9C1B2"/>
      </right>
      <top style="thin">
        <color rgb="FFE4DED2"/>
      </top>
      <bottom style="thin">
        <color rgb="FFE4DED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6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indent="1"/>
    </xf>
    <xf numFmtId="0" fontId="9" fillId="6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horizontal="left" vertical="top" indent="1"/>
    </xf>
    <xf numFmtId="0" fontId="12" fillId="0" borderId="3" xfId="0" applyFont="1" applyBorder="1" applyAlignment="1">
      <alignment horizontal="left" vertical="top" wrapText="1" indent="1"/>
    </xf>
    <xf numFmtId="0" fontId="13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indent="1"/>
    </xf>
    <xf numFmtId="164" fontId="12" fillId="0" borderId="3" xfId="0" applyNumberFormat="1" applyFont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left" vertical="center" indent="1"/>
    </xf>
    <xf numFmtId="164" fontId="15" fillId="7" borderId="4" xfId="0" applyNumberFormat="1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left" vertical="center" indent="1"/>
    </xf>
    <xf numFmtId="0" fontId="16" fillId="7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164" fontId="17" fillId="8" borderId="1" xfId="0" applyNumberFormat="1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left" vertical="center" indent="1"/>
    </xf>
    <xf numFmtId="0" fontId="19" fillId="9" borderId="1" xfId="0" applyFont="1" applyFill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164" fontId="15" fillId="5" borderId="1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1" fillId="0" borderId="0" xfId="0" applyFont="1"/>
    <xf numFmtId="0" fontId="1" fillId="0" borderId="0" xfId="0" applyFont="1"/>
    <xf numFmtId="0" fontId="22" fillId="2" borderId="0" xfId="0" applyFont="1" applyFill="1" applyAlignment="1">
      <alignment horizontal="left" vertical="center" indent="1"/>
    </xf>
    <xf numFmtId="0" fontId="0" fillId="0" borderId="0" xfId="0"/>
    <xf numFmtId="0" fontId="2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 indent="1"/>
    </xf>
    <xf numFmtId="0" fontId="23" fillId="2" borderId="0" xfId="0" applyFont="1" applyFill="1" applyAlignment="1">
      <alignment horizontal="left" vertical="center" indent="1"/>
    </xf>
    <xf numFmtId="0" fontId="3" fillId="0" borderId="0" xfId="0" applyFont="1"/>
    <xf numFmtId="0" fontId="11" fillId="7" borderId="0" xfId="0" applyFont="1" applyFill="1" applyAlignment="1">
      <alignment horizontal="left" vertical="center" indent="1"/>
    </xf>
    <xf numFmtId="0" fontId="25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 indent="1"/>
    </xf>
    <xf numFmtId="0" fontId="10" fillId="7" borderId="2" xfId="0" applyFont="1" applyFill="1" applyBorder="1" applyAlignment="1">
      <alignment horizontal="left" vertical="center" indent="1"/>
    </xf>
    <xf numFmtId="0" fontId="0" fillId="4" borderId="1" xfId="0" applyFill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0" xfId="0" applyFont="1"/>
    <xf numFmtId="0" fontId="18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wrapText="1" indent="1"/>
    </xf>
  </cellXfs>
  <cellStyles count="1">
    <cellStyle name="Standaard" xfId="0" builtinId="0"/>
  </cellStyles>
  <dxfs count="1">
    <dxf>
      <fill>
        <patternFill patternType="solid">
          <fgColor rgb="FFF5E4D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autoTitleDeleted val="1"/>
    <c:plotArea>
      <c:layout/>
      <c:radarChart>
        <c:radarStyle val="filled"/>
        <c:varyColors val="1"/>
        <c:ser>
          <c:idx val="0"/>
          <c:order val="0"/>
          <c:tx>
            <c:strRef>
              <c:f>Dashboard!H5</c:f>
              <c:strCache>
                <c:ptCount val="1"/>
                <c:pt idx="0">
                  <c:v>Groep</c:v>
                </c:pt>
              </c:strCache>
            </c:strRef>
          </c:tx>
          <c:spPr>
            <a:ln>
              <a:prstDash val="solid"/>
            </a:ln>
          </c:spPr>
          <c:cat>
            <c:strRef>
              <c:f>Dashboard!$A$6:$A$12</c:f>
              <c:strCache>
                <c:ptCount val="7"/>
                <c:pt idx="0">
                  <c:v>01 Digitale soevereiniteit</c:v>
                </c:pt>
                <c:pt idx="1">
                  <c:v>02 Informatie-intelligentie</c:v>
                </c:pt>
                <c:pt idx="2">
                  <c:v>03 Waarborgen van pluriformiteit</c:v>
                </c:pt>
                <c:pt idx="3">
                  <c:v>04 Modelgovernance</c:v>
                </c:pt>
                <c:pt idx="4">
                  <c:v>05 Kennisbeheer</c:v>
                </c:pt>
                <c:pt idx="5">
                  <c:v>06 Strategische informatie-autonomie</c:v>
                </c:pt>
                <c:pt idx="6">
                  <c:v>07 Bestuurlijke verantwoordelijkheid</c:v>
                </c:pt>
              </c:strCache>
            </c:strRef>
          </c:cat>
          <c:val>
            <c:numRef>
              <c:f>Dashboard!$H$6:$H$12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7-2D47-9592-6D78E0696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0.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</xdr:row>
      <xdr:rowOff>0</xdr:rowOff>
    </xdr:from>
    <xdr:ext cx="3960000" cy="306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showGridLines="0" workbookViewId="0"/>
  </sheetViews>
  <sheetFormatPr defaultRowHeight="15" x14ac:dyDescent="0.2"/>
  <cols>
    <col min="1" max="8" width="16.0078125" customWidth="1"/>
  </cols>
  <sheetData>
    <row r="1" spans="1:8" ht="51.95" customHeight="1" x14ac:dyDescent="0.2">
      <c r="A1" s="34" t="s">
        <v>0</v>
      </c>
      <c r="B1" s="35"/>
      <c r="C1" s="35"/>
      <c r="D1" s="35"/>
      <c r="E1" s="35"/>
      <c r="F1" s="35"/>
      <c r="G1" s="35"/>
      <c r="H1" s="35"/>
    </row>
    <row r="2" spans="1:8" ht="21.95" customHeight="1" x14ac:dyDescent="0.2">
      <c r="A2" s="38" t="s">
        <v>1</v>
      </c>
      <c r="B2" s="35"/>
      <c r="C2" s="35"/>
      <c r="D2" s="35"/>
      <c r="E2" s="35"/>
      <c r="F2" s="35"/>
      <c r="G2" s="35"/>
      <c r="H2" s="35"/>
    </row>
    <row r="4" spans="1:8" ht="33.950000000000003" customHeight="1" x14ac:dyDescent="0.2">
      <c r="A4" s="36" t="str">
        <f>IF(Lang="NL","Bestuur de informatie waarop uw redactie draait.","Govern the information your newsroom runs on.")</f>
        <v>Bestuur de informatie waarop uw redactie draait.</v>
      </c>
      <c r="B4" s="35"/>
      <c r="C4" s="35"/>
      <c r="D4" s="35"/>
      <c r="E4" s="35"/>
      <c r="F4" s="35"/>
      <c r="G4" s="35"/>
      <c r="H4" s="35"/>
    </row>
    <row r="5" spans="1:8" ht="39.950000000000003" customHeight="1" x14ac:dyDescent="0.2">
      <c r="A5" s="41" t="str">
        <f>IF(Lang="NL","Een strategisch volwassenheidsassessment over zeven domeinen — van onzichtbare afhankelijkheid naar een bestuursklaar besluit.","A strategic maturity assessment across seven domains — turning invisible dependence into a board-ready decision.")</f>
        <v>Een strategisch volwassenheidsassessment over zeven domeinen — van onzichtbare afhankelijkheid naar een bestuursklaar besluit.</v>
      </c>
      <c r="B5" s="35"/>
      <c r="C5" s="35"/>
      <c r="D5" s="35"/>
      <c r="E5" s="35"/>
      <c r="F5" s="35"/>
      <c r="G5" s="35"/>
      <c r="H5" s="35"/>
    </row>
    <row r="7" spans="1:8" ht="33.950000000000003" customHeight="1" x14ac:dyDescent="0.2">
      <c r="A7" s="1" t="s">
        <v>2</v>
      </c>
      <c r="B7" s="1" t="s">
        <v>3</v>
      </c>
      <c r="C7" s="1" t="s">
        <v>4</v>
      </c>
      <c r="D7" s="1" t="s">
        <v>5</v>
      </c>
      <c r="E7" s="1" t="s">
        <v>6</v>
      </c>
    </row>
    <row r="8" spans="1:8" ht="24" customHeight="1" x14ac:dyDescent="0.2">
      <c r="A8" s="2" t="str">
        <f>IF(Lang="NL","Vragen","Questions")</f>
        <v>Vragen</v>
      </c>
      <c r="B8" s="2" t="str">
        <f>IF(Lang="NL","Domeinen","Domains")</f>
        <v>Domeinen</v>
      </c>
      <c r="C8" s="2" t="str">
        <f>IF(Lang="NL","Minuten","Minutes")</f>
        <v>Minuten</v>
      </c>
      <c r="D8" s="2" t="str">
        <f>IF(Lang="NL","Volwassenheidsniveaus","Maturity levels")</f>
        <v>Volwassenheidsniveaus</v>
      </c>
      <c r="E8" s="2" t="str">
        <f>IF(Lang="NL","Respondenten","Respondents")</f>
        <v>Respondenten</v>
      </c>
    </row>
    <row r="10" spans="1:8" x14ac:dyDescent="0.2">
      <c r="A10" s="39" t="str">
        <f>IF(Lang="NL","Zo gebruikt u dit werkboek","How to use this workbook")</f>
        <v>Zo gebruikt u dit werkboek</v>
      </c>
      <c r="B10" s="35"/>
      <c r="C10" s="35"/>
      <c r="D10" s="35"/>
      <c r="E10" s="35"/>
      <c r="F10" s="35"/>
      <c r="G10" s="35"/>
      <c r="H10" s="35"/>
    </row>
    <row r="11" spans="1:8" ht="26.1" customHeight="1" x14ac:dyDescent="0.2">
      <c r="A11" s="37" t="str">
        <f>IF(Lang="NL","1.  Stel de taal in (EN / NL) bovenaan het tabblad Assessment — alle labels schakelen mee.","1.  Set the language (EN / NL) at the top of the Assessment tab — every label switches.")</f>
        <v>1.  Stel de taal in (EN / NL) bovenaan het tabblad Assessment — alle labels schakelen mee.</v>
      </c>
      <c r="B11" s="35"/>
      <c r="C11" s="35"/>
      <c r="D11" s="35"/>
      <c r="E11" s="35"/>
      <c r="F11" s="35"/>
      <c r="G11" s="35"/>
      <c r="H11" s="35"/>
    </row>
    <row r="12" spans="1:8" ht="26.1" customHeight="1" x14ac:dyDescent="0.2">
      <c r="A12" s="37" t="str">
        <f>IF(Lang="NL","2.  Voer per leider naam en rol in. Tot zes respondenten.","2.  Enter each leader's name and role. Up to six respondents.")</f>
        <v>2.  Voer per leider naam en rol in. Tot zes respondenten.</v>
      </c>
      <c r="B12" s="35"/>
      <c r="C12" s="35"/>
      <c r="D12" s="35"/>
      <c r="E12" s="35"/>
      <c r="F12" s="35"/>
      <c r="G12" s="35"/>
      <c r="H12" s="35"/>
    </row>
    <row r="13" spans="1:8" ht="26.1" customHeight="1" x14ac:dyDescent="0.2">
      <c r="A13" s="37" t="str">
        <f>IF(Lang="NL","3.  Kies bij elke vraag het niveau dat de organisatie vandaag het best beschrijft.","3.  For every question, pick the level that best describes the organisation today.")</f>
        <v>3.  Kies bij elke vraag het niveau dat de organisatie vandaag het best beschrijft.</v>
      </c>
      <c r="B13" s="35"/>
      <c r="C13" s="35"/>
      <c r="D13" s="35"/>
      <c r="E13" s="35"/>
      <c r="F13" s="35"/>
      <c r="G13" s="35"/>
      <c r="H13" s="35"/>
    </row>
    <row r="14" spans="1:8" ht="26.1" customHeight="1" x14ac:dyDescent="0.2">
      <c r="A14" s="37" t="str">
        <f>IF(Lang="NL","4.  Open het tabblad Dashboard — domeinscores, totale volwassenheid, de Afstemmingsindex en benchmark werken automatisch bij.","4.  Open the Dashboard tab — domain scores, overall maturity, the Alignment Index and benchmark update automatically.")</f>
        <v>4.  Open het tabblad Dashboard — domeinscores, totale volwassenheid, de Afstemmingsindex en benchmark werken automatisch bij.</v>
      </c>
      <c r="B14" s="35"/>
      <c r="C14" s="35"/>
      <c r="D14" s="35"/>
      <c r="E14" s="35"/>
      <c r="F14" s="35"/>
      <c r="G14" s="35"/>
      <c r="H14" s="35"/>
    </row>
    <row r="15" spans="1:8" ht="26.1" customHeight="1" x14ac:dyDescent="0.2">
      <c r="A15" s="37" t="str">
        <f>IF(Lang="NL","5.  Waar leiders 30+ punten verschillen op een domein, markeert het Dashboard dit als blinde vlek.","5.  Where leaders diverge by 30+ points on a domain, the Dashboard flags it as a blind spot.")</f>
        <v>5.  Waar leiders 30+ punten verschillen op een domein, markeert het Dashboard dit als blinde vlek.</v>
      </c>
      <c r="B15" s="35"/>
      <c r="C15" s="35"/>
      <c r="D15" s="35"/>
      <c r="E15" s="35"/>
      <c r="F15" s="35"/>
      <c r="G15" s="35"/>
      <c r="H15" s="35"/>
    </row>
    <row r="17" spans="1:8" ht="30" customHeight="1" x14ac:dyDescent="0.2">
      <c r="A17" s="42" t="str">
        <f>IF(Lang="NL","Scoring:  Domein % = Σ(gewicht·score) / Σ(gewicht·4) · 100   ·   Totaal = 0,75·gemiddelde(domeinen) + 0,25·zwakste domein   ·   Bewijs &amp; Structureel wegen ×1,25, Overtuiging ×1,0.","Scoring:  Domain % = Σ(weight·score) / Σ(weight·4) · 100   ·   Overall = 0.75·mean(domains) + 0.25·weakest domain   ·   Evidence &amp; Structural items weighted ×1.25, Agreement ×1.0.")</f>
        <v>Scoring:  Domein % = Σ(gewicht·score) / Σ(gewicht·4) · 100   ·   Totaal = 0,75·gemiddelde(domeinen) + 0,25·zwakste domein   ·   Bewijs &amp; Structureel wegen ×1,25, Overtuiging ×1,0.</v>
      </c>
      <c r="B17" s="35"/>
      <c r="C17" s="35"/>
      <c r="D17" s="35"/>
      <c r="E17" s="35"/>
      <c r="F17" s="35"/>
      <c r="G17" s="35"/>
      <c r="H17" s="35"/>
    </row>
    <row r="19" spans="1:8" ht="21.95" customHeight="1" x14ac:dyDescent="0.2">
      <c r="A19" s="40" t="str">
        <f>IF(Lang="NL","Draait volledig in dit werkboek. Benchmarkcijfers zijn illustratief. Onderdeel van de Polders-familie · © 2026 Polders.Media B.V.","Runs entirely in this workbook. Benchmark figures are illustrative. Part of the Polders family · © 2026 Polders.Media B.V.")</f>
        <v>Draait volledig in dit werkboek. Benchmarkcijfers zijn illustratief. Onderdeel van de Polders-familie · © 2026 Polders.Media B.V.</v>
      </c>
      <c r="B19" s="35"/>
      <c r="C19" s="35"/>
      <c r="D19" s="35"/>
      <c r="E19" s="35"/>
      <c r="F19" s="35"/>
      <c r="G19" s="35"/>
      <c r="H19" s="35"/>
    </row>
  </sheetData>
  <mergeCells count="12">
    <mergeCell ref="A19:H19"/>
    <mergeCell ref="A5:H5"/>
    <mergeCell ref="A17:H17"/>
    <mergeCell ref="A1:H1"/>
    <mergeCell ref="A4:H4"/>
    <mergeCell ref="A12:H12"/>
    <mergeCell ref="A15:H15"/>
    <mergeCell ref="A2:H2"/>
    <mergeCell ref="A10:H10"/>
    <mergeCell ref="A13:H13"/>
    <mergeCell ref="A11:H11"/>
    <mergeCell ref="A14:H14"/>
  </mergeCells>
  <pageMargins left="0.75" right="0.75" top="1" bottom="1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showGridLines="0" tabSelected="1" workbookViewId="0">
      <pane xSplit="3" ySplit="8" topLeftCell="D17" activePane="bottomRight" state="frozen"/>
      <selection pane="bottomLeft"/>
      <selection pane="topRight"/>
      <selection pane="bottomRight" activeCell="C19" sqref="C19"/>
    </sheetView>
  </sheetViews>
  <sheetFormatPr defaultRowHeight="15" x14ac:dyDescent="0.2"/>
  <cols>
    <col min="1" max="1" width="6.05078125" customWidth="1"/>
    <col min="2" max="2" width="11.02734375" customWidth="1"/>
    <col min="3" max="3" width="62.015625" customWidth="1"/>
    <col min="4" max="9" width="16.0078125" customWidth="1"/>
  </cols>
  <sheetData>
    <row r="1" spans="1:9" ht="39.950000000000003" customHeight="1" x14ac:dyDescent="0.2">
      <c r="A1" s="46" t="s">
        <v>7</v>
      </c>
      <c r="B1" s="35"/>
      <c r="C1" s="35"/>
      <c r="D1" s="35"/>
      <c r="E1" s="35"/>
      <c r="F1" s="35"/>
      <c r="G1" s="35"/>
      <c r="H1" s="35"/>
      <c r="I1" s="35"/>
    </row>
    <row r="2" spans="1:9" ht="24" customHeight="1" x14ac:dyDescent="0.2">
      <c r="A2" s="45" t="s">
        <v>8</v>
      </c>
      <c r="B2" s="35"/>
      <c r="C2" s="4" t="s">
        <v>220</v>
      </c>
      <c r="E2" s="5" t="str">
        <f>IF(Lang="NL","Organisatie (optioneel)","Organisation (optional)")</f>
        <v>Organisatie (optioneel)</v>
      </c>
      <c r="F2" s="44"/>
      <c r="G2" s="35"/>
    </row>
    <row r="3" spans="1:9" ht="21.95" customHeight="1" x14ac:dyDescent="0.2">
      <c r="A3" s="47" t="str">
        <f>IF(Lang="NL","Beantwoord voor de organisatie zoals die vandaag werkt. Kies per vraag, per respondent een niveau. Scores werken bij op het Dashboard.","Answer for the organisation as it operates today. Choose a level per question, per respondent. Scores update on the Dashboard.")</f>
        <v>Beantwoord voor de organisatie zoals die vandaag werkt. Kies per vraag, per respondent een niveau. Scores werken bij op het Dashboard.</v>
      </c>
      <c r="B3" s="35"/>
      <c r="C3" s="35"/>
      <c r="D3" s="35"/>
      <c r="E3" s="35"/>
      <c r="F3" s="35"/>
      <c r="G3" s="35"/>
      <c r="H3" s="35"/>
      <c r="I3" s="35"/>
    </row>
    <row r="5" spans="1:9" ht="21.95" customHeight="1" x14ac:dyDescent="0.2">
      <c r="A5" s="39" t="str">
        <f>IF(Lang="NL","Respondenten","Respondents")</f>
        <v>Respondenten</v>
      </c>
      <c r="B5" s="35"/>
      <c r="C5" s="5" t="str">
        <f>IF(Lang="NL","Naam respondent →","Respondent name →")</f>
        <v>Naam respondent →</v>
      </c>
      <c r="D5" s="6"/>
      <c r="E5" s="6"/>
      <c r="F5" s="6"/>
      <c r="G5" s="6"/>
      <c r="H5" s="6"/>
      <c r="I5" s="6"/>
    </row>
    <row r="6" spans="1:9" ht="20.100000000000001" customHeight="1" x14ac:dyDescent="0.2">
      <c r="A6" s="48" t="str">
        <f>IF(Lang="NL","Tot zes leiders","Up to six leaders")</f>
        <v>Tot zes leiders</v>
      </c>
      <c r="B6" s="35"/>
      <c r="C6" s="5" t="str">
        <f>IF(Lang="NL","Rol →","Role →")</f>
        <v>Rol →</v>
      </c>
      <c r="D6" s="7"/>
      <c r="E6" s="7"/>
      <c r="F6" s="7"/>
      <c r="G6" s="7"/>
      <c r="H6" s="7"/>
      <c r="I6" s="7"/>
    </row>
    <row r="8" spans="1:9" ht="21.95" customHeight="1" x14ac:dyDescent="0.2">
      <c r="A8" s="8" t="s">
        <v>9</v>
      </c>
      <c r="B8" s="8" t="str">
        <f>IF(Lang="NL","Type","Type")</f>
        <v>Type</v>
      </c>
      <c r="C8" s="8" t="str">
        <f>IF(Lang="NL","Vraag","Question")</f>
        <v>Vraag</v>
      </c>
      <c r="D8" s="9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15</v>
      </c>
    </row>
    <row r="9" spans="1:9" ht="26.1" customHeight="1" x14ac:dyDescent="0.2">
      <c r="A9" s="43" t="str">
        <f>IF(Lang="NL","01  Digitale soevereiniteit   ·   Afhankelijkheidsbewustzijn · leverancierconcentratie · inkoop · exitstrategie · veerkracht","01  Digital Sovereignty   ·   Dependency awareness · vendor concentration · procurement · exit strategy · resilience")</f>
        <v>01  Digitale soevereiniteit   ·   Afhankelijkheidsbewustzijn · leverancierconcentratie · inkoop · exitstrategie · veerkracht</v>
      </c>
      <c r="B9" s="35"/>
      <c r="C9" s="35"/>
      <c r="D9" s="35"/>
      <c r="E9" s="35"/>
      <c r="F9" s="35"/>
      <c r="G9" s="35"/>
      <c r="H9" s="35"/>
      <c r="I9" s="35"/>
    </row>
    <row r="10" spans="1:9" ht="33.950000000000003" customHeight="1" x14ac:dyDescent="0.2">
      <c r="A10" s="10" t="s">
        <v>16</v>
      </c>
      <c r="B10" s="11" t="str">
        <f>IF(Lang="NL","Bewijs","Evidence")</f>
        <v>Bewijs</v>
      </c>
      <c r="C10" s="12" t="str">
        <f>IF(Lang="NL","De redactie houdt een actueel overzicht bij van de AI-diensten waarvan het redactionele werk afhankelijk is.","The newsroom keeps a current inventory of the AI services its editorial work depends on.")</f>
        <v>De redactie houdt een actueel overzicht bij van de AI-diensten waarvan het redactionele werk afhankelijk is.</v>
      </c>
      <c r="D10" s="13"/>
      <c r="E10" s="13"/>
      <c r="F10" s="13"/>
      <c r="G10" s="13"/>
      <c r="H10" s="13"/>
      <c r="I10" s="13"/>
    </row>
    <row r="11" spans="1:9" ht="33.950000000000003" customHeight="1" x14ac:dyDescent="0.2">
      <c r="A11" s="10" t="s">
        <v>17</v>
      </c>
      <c r="B11" s="11" t="str">
        <f>IF(Lang="NL","Structureel","Structural")</f>
        <v>Structureel</v>
      </c>
      <c r="C11" s="12" t="str">
        <f>IF(Lang="NL","Hoe geconcentreerd zijn onze kritieke AI-capaciteiten bij leveranciers?","How concentrated are our critical AI capabilities among vendors?")</f>
        <v>Hoe geconcentreerd zijn onze kritieke AI-capaciteiten bij leveranciers?</v>
      </c>
      <c r="D11" s="13"/>
      <c r="E11" s="13"/>
      <c r="F11" s="13"/>
      <c r="G11" s="13"/>
      <c r="H11" s="13"/>
      <c r="I11" s="13"/>
    </row>
    <row r="12" spans="1:9" ht="33.950000000000003" customHeight="1" x14ac:dyDescent="0.2">
      <c r="A12" s="10" t="s">
        <v>18</v>
      </c>
      <c r="B12" s="11" t="str">
        <f>IF(Lang="NL","Bewijs","Evidence")</f>
        <v>Bewijs</v>
      </c>
      <c r="C12" s="12" t="str">
        <f>IF(Lang="NL","AI-inkoop volgt een vast proces dat continuïteit, exit en redactionele fit weegt — niet alleen prijs.","AI procurement follows a defined process weighing continuity, exit and editorial fit — not only price.")</f>
        <v>AI-inkoop volgt een vast proces dat continuïteit, exit en redactionele fit weegt — niet alleen prijs.</v>
      </c>
      <c r="D12" s="13"/>
      <c r="E12" s="13"/>
      <c r="F12" s="13"/>
      <c r="G12" s="13"/>
      <c r="H12" s="13"/>
      <c r="I12" s="13"/>
    </row>
    <row r="13" spans="1:9" ht="33.950000000000003" customHeight="1" x14ac:dyDescent="0.2">
      <c r="A13" s="10" t="s">
        <v>19</v>
      </c>
      <c r="B13" s="11" t="str">
        <f>IF(Lang="NL","Bewijs","Evidence")</f>
        <v>Bewijs</v>
      </c>
      <c r="C13" s="12" t="str">
        <f>IF(Lang="NL","Voor elke kritieke AI-afhankelijkheid weten we hoe we zouden werken als die verandert of stopt.","For each critical AI dependency we have identified how we would operate if it changed or stopped.")</f>
        <v>Voor elke kritieke AI-afhankelijkheid weten we hoe we zouden werken als die verandert of stopt.</v>
      </c>
      <c r="D13" s="13"/>
      <c r="E13" s="13"/>
      <c r="F13" s="13"/>
      <c r="G13" s="13"/>
      <c r="H13" s="13"/>
      <c r="I13" s="13"/>
    </row>
    <row r="14" spans="1:9" ht="33.950000000000003" customHeight="1" x14ac:dyDescent="0.2">
      <c r="A14" s="10" t="s">
        <v>20</v>
      </c>
      <c r="B14" s="11" t="str">
        <f>IF(Lang="NL","Overtuiging","Agreement")</f>
        <v>Overtuiging</v>
      </c>
      <c r="C14" s="12" t="str">
        <f>IF(Lang="NL","We kunnen essentieel redactioneel werk een week voortzetten als onze belangrijkste AI-leverancier uitvalt.","We could sustain essential editorial operations for a week if our main AI provider became unavailable.")</f>
        <v>We kunnen essentieel redactioneel werk een week voortzetten als onze belangrijkste AI-leverancier uitvalt.</v>
      </c>
      <c r="D14" s="13"/>
      <c r="E14" s="13"/>
      <c r="F14" s="13"/>
      <c r="G14" s="13"/>
      <c r="H14" s="13"/>
      <c r="I14" s="13"/>
    </row>
    <row r="15" spans="1:9" ht="26.1" customHeight="1" x14ac:dyDescent="0.2">
      <c r="A15" s="43" t="str">
        <f>IF(Lang="NL","02  Informatie-intelligentie   ·   Onderzoeksondersteuning · ontdekking · synthese · redactioneel inzicht · analytisch vermogen","02  Information Intelligence   ·   Investigative support · discovery · synthesis · editorial insight · analytical capability")</f>
        <v>02  Informatie-intelligentie   ·   Onderzoeksondersteuning · ontdekking · synthese · redactioneel inzicht · analytisch vermogen</v>
      </c>
      <c r="B15" s="35"/>
      <c r="C15" s="35"/>
      <c r="D15" s="35"/>
      <c r="E15" s="35"/>
      <c r="F15" s="35"/>
      <c r="G15" s="35"/>
      <c r="H15" s="35"/>
      <c r="I15" s="35"/>
    </row>
    <row r="16" spans="1:9" ht="33.950000000000003" customHeight="1" x14ac:dyDescent="0.2">
      <c r="A16" s="10" t="s">
        <v>21</v>
      </c>
      <c r="B16" s="11" t="str">
        <f>IF(Lang="NL","Bewijs","Evidence")</f>
        <v>Bewijs</v>
      </c>
      <c r="C16" s="12" t="str">
        <f>IF(Lang="NL","Verslaggevers gebruiken AI om documentsets te analyseren die te groot zijn om handmatig te lezen.","Reporters use AI to analyse document sets larger than a person could read manually.")</f>
        <v>Verslaggevers gebruiken AI om documentsets te analyseren die te groot zijn om handmatig te lezen.</v>
      </c>
      <c r="D16" s="13"/>
      <c r="E16" s="13"/>
      <c r="F16" s="13"/>
      <c r="G16" s="13"/>
      <c r="H16" s="13"/>
      <c r="I16" s="13"/>
    </row>
    <row r="17" spans="1:9" ht="33.950000000000003" customHeight="1" x14ac:dyDescent="0.2">
      <c r="A17" s="10" t="s">
        <v>22</v>
      </c>
      <c r="B17" s="11" t="str">
        <f>IF(Lang="NL","Bewijs","Evidence")</f>
        <v>Bewijs</v>
      </c>
      <c r="C17" s="12" t="str">
        <f>IF(Lang="NL","We gebruiken AI om opkomende verhalen of narratieven te signaleren vóór ze breed worden bericht.","We use AI to detect emerging stories or narratives before they are widely reported.")</f>
        <v>We gebruiken AI om opkomende verhalen of narratieven te signaleren vóór ze breed worden bericht.</v>
      </c>
      <c r="D17" s="13"/>
      <c r="E17" s="13"/>
      <c r="F17" s="13"/>
      <c r="G17" s="13"/>
      <c r="H17" s="13"/>
      <c r="I17" s="13"/>
    </row>
    <row r="18" spans="1:9" ht="33.950000000000003" customHeight="1" x14ac:dyDescent="0.2">
      <c r="A18" s="10" t="s">
        <v>23</v>
      </c>
      <c r="B18" s="11" t="str">
        <f>IF(Lang="NL","Bewijs","Evidence")</f>
        <v>Bewijs</v>
      </c>
      <c r="C18" s="12" t="str">
        <f>IF(Lang="NL","AI-ondersteunde synthese van grote bronnen is een vast onderdeel van onze onderzoekswerkwijze.","AI-assisted synthesis of large sources is an established part of our research workflow.")</f>
        <v>AI-ondersteunde synthese van grote bronnen is een vast onderdeel van onze onderzoekswerkwijze.</v>
      </c>
      <c r="D18" s="13"/>
      <c r="E18" s="13"/>
      <c r="F18" s="13"/>
      <c r="G18" s="13"/>
      <c r="H18" s="13"/>
      <c r="I18" s="13"/>
    </row>
    <row r="19" spans="1:9" ht="33.950000000000003" customHeight="1" x14ac:dyDescent="0.2">
      <c r="A19" s="10" t="s">
        <v>24</v>
      </c>
      <c r="B19" s="11" t="str">
        <f>IF(Lang="NL","Bewijs","Evidence")</f>
        <v>Bewijs</v>
      </c>
      <c r="C19" s="12" t="str">
        <f>IF(Lang="NL","Redacteuren gebruiken analytische tools om hiaten, omissies of blinde vlekken in onze berichtgeving te vinden.","Editors use analytical tools to identify gaps, omissions or blind spots in our coverage.")</f>
        <v>Redacteuren gebruiken analytische tools om hiaten, omissies of blinde vlekken in onze berichtgeving te vinden.</v>
      </c>
      <c r="D19" s="13"/>
      <c r="E19" s="13"/>
      <c r="F19" s="13"/>
      <c r="G19" s="13"/>
      <c r="H19" s="13"/>
      <c r="I19" s="13"/>
    </row>
    <row r="20" spans="1:9" ht="33.950000000000003" customHeight="1" x14ac:dyDescent="0.2">
      <c r="A20" s="10" t="s">
        <v>25</v>
      </c>
      <c r="B20" s="11" t="str">
        <f>IF(Lang="NL","Structureel","Structural")</f>
        <v>Structureel</v>
      </c>
      <c r="C20" s="12" t="str">
        <f>IF(Lang="NL","Waar zit analytisch AI-vermogen in de redactie?","Where does analytical AI capability sit in the newsroom?")</f>
        <v>Waar zit analytisch AI-vermogen in de redactie?</v>
      </c>
      <c r="D20" s="13"/>
      <c r="E20" s="13"/>
      <c r="F20" s="13"/>
      <c r="G20" s="13"/>
      <c r="H20" s="13"/>
      <c r="I20" s="13"/>
    </row>
    <row r="21" spans="1:9" ht="26.1" customHeight="1" x14ac:dyDescent="0.2">
      <c r="A21" s="43" t="str">
        <f>IF(Lang="NL","03  Waarborgen van pluriformiteit   ·   Bronnendiversiteit · framingdiversiteit · narratieve convergentie · originaliteit · monitoring","03  Safeguarding Plurality   ·   Source diversity · framing diversity · narrative convergence · originality · monitoring")</f>
        <v>03  Waarborgen van pluriformiteit   ·   Bronnendiversiteit · framingdiversiteit · narratieve convergentie · originaliteit · monitoring</v>
      </c>
      <c r="B21" s="35"/>
      <c r="C21" s="35"/>
      <c r="D21" s="35"/>
      <c r="E21" s="35"/>
      <c r="F21" s="35"/>
      <c r="G21" s="35"/>
      <c r="H21" s="35"/>
      <c r="I21" s="35"/>
    </row>
    <row r="22" spans="1:9" ht="33.950000000000003" customHeight="1" x14ac:dyDescent="0.2">
      <c r="A22" s="10" t="s">
        <v>26</v>
      </c>
      <c r="B22" s="11" t="str">
        <f>IF(Lang="NL","Bewijs","Evidence")</f>
        <v>Bewijs</v>
      </c>
      <c r="C22" s="12" t="str">
        <f>IF(Lang="NL","We beoordelen periodiek de diversiteit van onze bronnen en framing over de berichtgeving heen.","We periodically review the diversity of our sources and framing across coverage.")</f>
        <v>We beoordelen periodiek de diversiteit van onze bronnen en framing over de berichtgeving heen.</v>
      </c>
      <c r="D22" s="13"/>
      <c r="E22" s="13"/>
      <c r="F22" s="13"/>
      <c r="G22" s="13"/>
      <c r="H22" s="13"/>
      <c r="I22" s="13"/>
    </row>
    <row r="23" spans="1:9" ht="33.950000000000003" customHeight="1" x14ac:dyDescent="0.2">
      <c r="A23" s="10" t="s">
        <v>27</v>
      </c>
      <c r="B23" s="11" t="str">
        <f>IF(Lang="NL","Bewijs","Evidence")</f>
        <v>Bewijs</v>
      </c>
      <c r="C23" s="12" t="str">
        <f>IF(Lang="NL","We controleren of onze AI-ondersteunde output convergeert met concurrenten qua woordkeuze, bronnen of framing.","We check whether our AI-assisted output is converging with competitors on wording, sources or framing.")</f>
        <v>We controleren of onze AI-ondersteunde output convergeert met concurrenten qua woordkeuze, bronnen of framing.</v>
      </c>
      <c r="D23" s="13"/>
      <c r="E23" s="13"/>
      <c r="F23" s="13"/>
      <c r="G23" s="13"/>
      <c r="H23" s="13"/>
      <c r="I23" s="13"/>
    </row>
    <row r="24" spans="1:9" ht="33.950000000000003" customHeight="1" x14ac:dyDescent="0.2">
      <c r="A24" s="10" t="s">
        <v>28</v>
      </c>
      <c r="B24" s="11" t="str">
        <f>IF(Lang="NL","Overtuiging","Agreement")</f>
        <v>Overtuiging</v>
      </c>
      <c r="C24" s="12" t="str">
        <f>IF(Lang="NL","Onze redactionele output blijft duidelijk onderscheidend van concurrenten die vergelijkbare AI-tools gebruiken.","Our editorial output remains clearly distinct from competitors using similar AI tools.")</f>
        <v>Onze redactionele output blijft duidelijk onderscheidend van concurrenten die vergelijkbare AI-tools gebruiken.</v>
      </c>
      <c r="D24" s="13"/>
      <c r="E24" s="13"/>
      <c r="F24" s="13"/>
      <c r="G24" s="13"/>
      <c r="H24" s="13"/>
      <c r="I24" s="13"/>
    </row>
    <row r="25" spans="1:9" ht="33.950000000000003" customHeight="1" x14ac:dyDescent="0.2">
      <c r="A25" s="10" t="s">
        <v>29</v>
      </c>
      <c r="B25" s="11" t="str">
        <f>IF(Lang="NL","Structureel","Structural")</f>
        <v>Structureel</v>
      </c>
      <c r="C25" s="12" t="str">
        <f>IF(Lang="NL","Hoe monitoren we bronnen- en framingdiversiteit?","How do we monitor source and framing diversity?")</f>
        <v>Hoe monitoren we bronnen- en framingdiversiteit?</v>
      </c>
      <c r="D25" s="13"/>
      <c r="E25" s="13"/>
      <c r="F25" s="13"/>
      <c r="G25" s="13"/>
      <c r="H25" s="13"/>
      <c r="I25" s="13"/>
    </row>
    <row r="26" spans="1:9" ht="33.950000000000003" customHeight="1" x14ac:dyDescent="0.2">
      <c r="A26" s="10" t="s">
        <v>30</v>
      </c>
      <c r="B26" s="11" t="str">
        <f>IF(Lang="NL","Bewijs","Evidence")</f>
        <v>Bewijs</v>
      </c>
      <c r="C26" s="12" t="str">
        <f>IF(Lang="NL","Redactionele richtlijnen adresseren het risico dat AI-modellen toon, framing of bronnen homogeniseren.","Editorial guidelines address the risk of AI models homogenising tone, framing or sourcing.")</f>
        <v>Redactionele richtlijnen adresseren het risico dat AI-modellen toon, framing of bronnen homogeniseren.</v>
      </c>
      <c r="D26" s="13"/>
      <c r="E26" s="13"/>
      <c r="F26" s="13"/>
      <c r="G26" s="13"/>
      <c r="H26" s="13"/>
      <c r="I26" s="13"/>
    </row>
    <row r="27" spans="1:9" ht="26.1" customHeight="1" x14ac:dyDescent="0.2">
      <c r="A27" s="43" t="str">
        <f>IF(Lang="NL","04  Modelgovernance   ·   Modelevaluatie · verklaarbaarheid · reviewcycli · transparantie · auditbaarheid","04  Model Governance   ·   Model evaluation · explainability · review cycles · transparency · auditability")</f>
        <v>04  Modelgovernance   ·   Modelevaluatie · verklaarbaarheid · reviewcycli · transparantie · auditbaarheid</v>
      </c>
      <c r="B27" s="35"/>
      <c r="C27" s="35"/>
      <c r="D27" s="35"/>
      <c r="E27" s="35"/>
      <c r="F27" s="35"/>
      <c r="G27" s="35"/>
      <c r="H27" s="35"/>
      <c r="I27" s="35"/>
    </row>
    <row r="28" spans="1:9" ht="33.950000000000003" customHeight="1" x14ac:dyDescent="0.2">
      <c r="A28" s="10" t="s">
        <v>31</v>
      </c>
      <c r="B28" s="11" t="str">
        <f>IF(Lang="NL","Bewijs","Evidence")</f>
        <v>Bewijs</v>
      </c>
      <c r="C28" s="12" t="str">
        <f>IF(Lang="NL","AI-modellen worden aan vastgestelde criteria getoetst vóór inzet in redactioneel werk.","AI models are evaluated against defined criteria before adoption in editorial work.")</f>
        <v>AI-modellen worden aan vastgestelde criteria getoetst vóór inzet in redactioneel werk.</v>
      </c>
      <c r="D28" s="13"/>
      <c r="E28" s="13"/>
      <c r="F28" s="13"/>
      <c r="G28" s="13"/>
      <c r="H28" s="13"/>
      <c r="I28" s="13"/>
    </row>
    <row r="29" spans="1:9" ht="33.950000000000003" customHeight="1" x14ac:dyDescent="0.2">
      <c r="A29" s="10" t="s">
        <v>32</v>
      </c>
      <c r="B29" s="11" t="str">
        <f>IF(Lang="NL","Structureel","Structural")</f>
        <v>Structureel</v>
      </c>
      <c r="C29" s="12" t="str">
        <f>IF(Lang="NL","Hoe goed begrijpen we hoe onze AI-modellen tot output komen?","How well do we understand how our AI models reach their outputs?")</f>
        <v>Hoe goed begrijpen we hoe onze AI-modellen tot output komen?</v>
      </c>
      <c r="D29" s="13"/>
      <c r="E29" s="13"/>
      <c r="F29" s="13"/>
      <c r="G29" s="13"/>
      <c r="H29" s="13"/>
      <c r="I29" s="13"/>
    </row>
    <row r="30" spans="1:9" ht="33.950000000000003" customHeight="1" x14ac:dyDescent="0.2">
      <c r="A30" s="10" t="s">
        <v>33</v>
      </c>
      <c r="B30" s="11" t="str">
        <f>IF(Lang="NL","Bewijs","Evidence")</f>
        <v>Bewijs</v>
      </c>
      <c r="C30" s="12" t="str">
        <f>IF(Lang="NL","Ingezette AI-modellen worden op een vast schema herzien, niet alleen bij ingebruikname.","Adopted AI models are reviewed on a defined schedule, not only at onboarding.")</f>
        <v>Ingezette AI-modellen worden op een vast schema herzien, niet alleen bij ingebruikname.</v>
      </c>
      <c r="D30" s="13"/>
      <c r="E30" s="13"/>
      <c r="F30" s="13"/>
      <c r="G30" s="13"/>
      <c r="H30" s="13"/>
      <c r="I30" s="13"/>
    </row>
    <row r="31" spans="1:9" ht="33.950000000000003" customHeight="1" x14ac:dyDescent="0.2">
      <c r="A31" s="10" t="s">
        <v>34</v>
      </c>
      <c r="B31" s="11" t="str">
        <f>IF(Lang="NL","Bewijs","Evidence")</f>
        <v>Bewijs</v>
      </c>
      <c r="C31" s="12" t="str">
        <f>IF(Lang="NL","We maken intern of extern kenbaar waar AI de redactionele output wezenlijk vormt.","We disclose, internally or externally, where AI materially shapes editorial output.")</f>
        <v>We maken intern of extern kenbaar waar AI de redactionele output wezenlijk vormt.</v>
      </c>
      <c r="D31" s="13"/>
      <c r="E31" s="13"/>
      <c r="F31" s="13"/>
      <c r="G31" s="13"/>
      <c r="H31" s="13"/>
      <c r="I31" s="13"/>
    </row>
    <row r="32" spans="1:9" ht="33.950000000000003" customHeight="1" x14ac:dyDescent="0.2">
      <c r="A32" s="10" t="s">
        <v>35</v>
      </c>
      <c r="B32" s="11" t="str">
        <f>IF(Lang="NL","Bewijs","Evidence")</f>
        <v>Bewijs</v>
      </c>
      <c r="C32" s="12" t="str">
        <f>IF(Lang="NL","We leggen vast welk model en welke versie een bepaalde AI-ondersteunde output heeft voortgebracht.","We record which model and version produced a given AI-assisted output.")</f>
        <v>We leggen vast welk model en welke versie een bepaalde AI-ondersteunde output heeft voortgebracht.</v>
      </c>
      <c r="D32" s="13"/>
      <c r="E32" s="13"/>
      <c r="F32" s="13"/>
      <c r="G32" s="13"/>
      <c r="H32" s="13"/>
      <c r="I32" s="13"/>
    </row>
    <row r="33" spans="1:9" ht="26.1" customHeight="1" x14ac:dyDescent="0.2">
      <c r="A33" s="43" t="str">
        <f>IF(Lang="NL","05  Kennisbeheer   ·   Promptbibliotheken · documentatie · institutionele kennis · delen · behoud","05  Knowledge Stewardship   ·   Prompt libraries · documentation · institutional knowledge · sharing · preservation")</f>
        <v>05  Kennisbeheer   ·   Promptbibliotheken · documentatie · institutionele kennis · delen · behoud</v>
      </c>
      <c r="B33" s="35"/>
      <c r="C33" s="35"/>
      <c r="D33" s="35"/>
      <c r="E33" s="35"/>
      <c r="F33" s="35"/>
      <c r="G33" s="35"/>
      <c r="H33" s="35"/>
      <c r="I33" s="35"/>
    </row>
    <row r="34" spans="1:9" ht="33.950000000000003" customHeight="1" x14ac:dyDescent="0.2">
      <c r="A34" s="10" t="s">
        <v>36</v>
      </c>
      <c r="B34" s="11" t="str">
        <f>IF(Lang="NL","Bewijs","Evidence")</f>
        <v>Bewijs</v>
      </c>
      <c r="C34" s="12" t="str">
        <f>IF(Lang="NL","Effectieve prompts en AI-workflows staan in een gedeelde, onderhouden bibliotheek.","Effective prompts and AI workflows are stored in a shared, maintained library.")</f>
        <v>Effectieve prompts en AI-workflows staan in een gedeelde, onderhouden bibliotheek.</v>
      </c>
      <c r="D34" s="13"/>
      <c r="E34" s="13"/>
      <c r="F34" s="13"/>
      <c r="G34" s="13"/>
      <c r="H34" s="13"/>
      <c r="I34" s="13"/>
    </row>
    <row r="35" spans="1:9" ht="33.950000000000003" customHeight="1" x14ac:dyDescent="0.2">
      <c r="A35" s="10" t="s">
        <v>37</v>
      </c>
      <c r="B35" s="11" t="str">
        <f>IF(Lang="NL","Bewijs","Evidence")</f>
        <v>Bewijs</v>
      </c>
      <c r="C35" s="12" t="str">
        <f>IF(Lang="NL","Onze onderzoeksmethoden en AI-workflows zijn gedocumenteerd, niet alleen in hoofden van individuen.","Our research methods and AI workflows are documented, not held only in individuals' heads.")</f>
        <v>Onze onderzoeksmethoden en AI-workflows zijn gedocumenteerd, niet alleen in hoofden van individuen.</v>
      </c>
      <c r="D35" s="13"/>
      <c r="E35" s="13"/>
      <c r="F35" s="13"/>
      <c r="G35" s="13"/>
      <c r="H35" s="13"/>
      <c r="I35" s="13"/>
    </row>
    <row r="36" spans="1:9" ht="33.950000000000003" customHeight="1" x14ac:dyDescent="0.2">
      <c r="A36" s="10" t="s">
        <v>38</v>
      </c>
      <c r="B36" s="11" t="str">
        <f>IF(Lang="NL","Overtuiging","Agreement")</f>
        <v>Overtuiging</v>
      </c>
      <c r="C36" s="12" t="str">
        <f>IF(Lang="NL","Als een sleutelpersoon morgen vertrekt, blijven diens AI-methoden bruikbaar voor het team.","If a key person left tomorrow, their AI methods would remain usable by the team.")</f>
        <v>Als een sleutelpersoon morgen vertrekt, blijven diens AI-methoden bruikbaar voor het team.</v>
      </c>
      <c r="D36" s="13"/>
      <c r="E36" s="13"/>
      <c r="F36" s="13"/>
      <c r="G36" s="13"/>
      <c r="H36" s="13"/>
      <c r="I36" s="13"/>
    </row>
    <row r="37" spans="1:9" ht="33.950000000000003" customHeight="1" x14ac:dyDescent="0.2">
      <c r="A37" s="10" t="s">
        <v>39</v>
      </c>
      <c r="B37" s="11" t="str">
        <f>IF(Lang="NL","Bewijs","Evidence")</f>
        <v>Bewijs</v>
      </c>
      <c r="C37" s="12" t="str">
        <f>IF(Lang="NL","Teams delen en hergebruiken elkaars AI-workflows in plaats van ze los opnieuw op te bouwen.","Teams share and reuse each other's AI workflows rather than rebuilding them independently.")</f>
        <v>Teams delen en hergebruiken elkaars AI-workflows in plaats van ze los opnieuw op te bouwen.</v>
      </c>
      <c r="D37" s="13"/>
      <c r="E37" s="13"/>
      <c r="F37" s="13"/>
      <c r="G37" s="13"/>
      <c r="H37" s="13"/>
      <c r="I37" s="13"/>
    </row>
    <row r="38" spans="1:9" ht="33.950000000000003" customHeight="1" x14ac:dyDescent="0.2">
      <c r="A38" s="10" t="s">
        <v>40</v>
      </c>
      <c r="B38" s="11" t="str">
        <f>IF(Lang="NL","Structureel","Structural")</f>
        <v>Structureel</v>
      </c>
      <c r="C38" s="12" t="str">
        <f>IF(Lang="NL","Wat gebeurt er met onze AI-methoden bij systeem- of personeelswisselingen?","What happens to our AI methods during system or staff changes?")</f>
        <v>Wat gebeurt er met onze AI-methoden bij systeem- of personeelswisselingen?</v>
      </c>
      <c r="D38" s="13"/>
      <c r="E38" s="13"/>
      <c r="F38" s="13"/>
      <c r="G38" s="13"/>
      <c r="H38" s="13"/>
      <c r="I38" s="13"/>
    </row>
    <row r="39" spans="1:9" ht="26.1" customHeight="1" x14ac:dyDescent="0.2">
      <c r="A39" s="43" t="str">
        <f>IF(Lang="NL","06  Strategische informatie-autonomie   ·   Continuïteit · terugvaloptie · veerkrachttests · operationele onafhankelijkheid · noodplanning","06  Strategic Information Autonomy   ·   Continuity · fallback · resilience testing · operational independence · contingency")</f>
        <v>06  Strategische informatie-autonomie   ·   Continuïteit · terugvaloptie · veerkrachttests · operationele onafhankelijkheid · noodplanning</v>
      </c>
      <c r="B39" s="35"/>
      <c r="C39" s="35"/>
      <c r="D39" s="35"/>
      <c r="E39" s="35"/>
      <c r="F39" s="35"/>
      <c r="G39" s="35"/>
      <c r="H39" s="35"/>
      <c r="I39" s="35"/>
    </row>
    <row r="40" spans="1:9" ht="33.950000000000003" customHeight="1" x14ac:dyDescent="0.2">
      <c r="A40" s="10" t="s">
        <v>41</v>
      </c>
      <c r="B40" s="11" t="str">
        <f>IF(Lang="NL","Bewijs","Evidence")</f>
        <v>Bewijs</v>
      </c>
      <c r="C40" s="12" t="str">
        <f>IF(Lang="NL","We hebben vastgesteld welke redactionele functies nu niet kunnen werken zonder externe AI.","We have identified which editorial functions cannot currently operate without external AI.")</f>
        <v>We hebben vastgesteld welke redactionele functies nu niet kunnen werken zonder externe AI.</v>
      </c>
      <c r="D40" s="13"/>
      <c r="E40" s="13"/>
      <c r="F40" s="13"/>
      <c r="G40" s="13"/>
      <c r="H40" s="13"/>
      <c r="I40" s="13"/>
    </row>
    <row r="41" spans="1:9" ht="33.950000000000003" customHeight="1" x14ac:dyDescent="0.2">
      <c r="A41" s="10" t="s">
        <v>42</v>
      </c>
      <c r="B41" s="11" t="str">
        <f>IF(Lang="NL","Bewijs","Evidence")</f>
        <v>Bewijs</v>
      </c>
      <c r="C41" s="12" t="str">
        <f>IF(Lang="NL","Voor kritieke AI-afhankelijke functies bestaat een werkbare terugvaloptie als de dienst wegvalt.","For critical AI-dependent functions, a workable fallback exists if the service is lost.")</f>
        <v>Voor kritieke AI-afhankelijke functies bestaat een werkbare terugvaloptie als de dienst wegvalt.</v>
      </c>
      <c r="D41" s="13"/>
      <c r="E41" s="13"/>
      <c r="F41" s="13"/>
      <c r="G41" s="13"/>
      <c r="H41" s="13"/>
      <c r="I41" s="13"/>
    </row>
    <row r="42" spans="1:9" ht="33.950000000000003" customHeight="1" x14ac:dyDescent="0.2">
      <c r="A42" s="10" t="s">
        <v>43</v>
      </c>
      <c r="B42" s="11" t="str">
        <f>IF(Lang="NL","Bewijs","Evidence")</f>
        <v>Bewijs</v>
      </c>
      <c r="C42" s="12" t="str">
        <f>IF(Lang="NL","We testen op een vast schema of essentiële functies het verlies van een cruciale AI-dienst overleven.","We test, on a schedule, whether essential functions survive the loss of a key AI service.")</f>
        <v>We testen op een vast schema of essentiële functies het verlies van een cruciale AI-dienst overleven.</v>
      </c>
      <c r="D42" s="13"/>
      <c r="E42" s="13"/>
      <c r="F42" s="13"/>
      <c r="G42" s="13"/>
      <c r="H42" s="13"/>
      <c r="I42" s="13"/>
    </row>
    <row r="43" spans="1:9" ht="33.950000000000003" customHeight="1" x14ac:dyDescent="0.2">
      <c r="A43" s="10" t="s">
        <v>44</v>
      </c>
      <c r="B43" s="11" t="str">
        <f>IF(Lang="NL","Overtuiging","Agreement")</f>
        <v>Overtuiging</v>
      </c>
      <c r="C43" s="12" t="str">
        <f>IF(Lang="NL","We kunnen kernredactionele output handhaven bij een grote verstoring van een externe AI-leverancier.","We could maintain core editorial output through a major disruption to an external AI provider.")</f>
        <v>We kunnen kernredactionele output handhaven bij een grote verstoring van een externe AI-leverancier.</v>
      </c>
      <c r="D43" s="13"/>
      <c r="E43" s="13"/>
      <c r="F43" s="13"/>
      <c r="G43" s="13"/>
      <c r="H43" s="13"/>
      <c r="I43" s="13"/>
    </row>
    <row r="44" spans="1:9" ht="33.950000000000003" customHeight="1" x14ac:dyDescent="0.2">
      <c r="A44" s="10" t="s">
        <v>45</v>
      </c>
      <c r="B44" s="11" t="str">
        <f>IF(Lang="NL","Structureel","Structural")</f>
        <v>Structureel</v>
      </c>
      <c r="C44" s="12" t="str">
        <f>IF(Lang="NL","Hoe ontwikkeld is onze noodplanning voor uitval van AI-diensten?","How developed is our contingency planning for AI-service disruption?")</f>
        <v>Hoe ontwikkeld is onze noodplanning voor uitval van AI-diensten?</v>
      </c>
      <c r="D44" s="13"/>
      <c r="E44" s="13"/>
      <c r="F44" s="13"/>
      <c r="G44" s="13"/>
      <c r="H44" s="13"/>
      <c r="I44" s="13"/>
    </row>
    <row r="45" spans="1:9" ht="26.1" customHeight="1" x14ac:dyDescent="0.2">
      <c r="A45" s="43" t="str">
        <f>IF(Lang="NL","07  Bestuurlijke verantwoordelijkheid   ·   Toezicht · rapportage · eigenaarschap · governancecadans · strategische besluiten","07  Executive Responsibility   ·   Board oversight · reporting · ownership · governance cadence · strategic decisions")</f>
        <v>07  Bestuurlijke verantwoordelijkheid   ·   Toezicht · rapportage · eigenaarschap · governancecadans · strategische besluiten</v>
      </c>
      <c r="B45" s="35"/>
      <c r="C45" s="35"/>
      <c r="D45" s="35"/>
      <c r="E45" s="35"/>
      <c r="F45" s="35"/>
      <c r="G45" s="35"/>
      <c r="H45" s="35"/>
      <c r="I45" s="35"/>
    </row>
    <row r="46" spans="1:9" ht="33.950000000000003" customHeight="1" x14ac:dyDescent="0.2">
      <c r="A46" s="10" t="s">
        <v>46</v>
      </c>
      <c r="B46" s="11" t="str">
        <f>IF(Lang="NL","Structureel","Structural")</f>
        <v>Structureel</v>
      </c>
      <c r="C46" s="12" t="str">
        <f>IF(Lang="NL","Wie is eigenaar van informatiegovernance in de organisatie?","Who owns information governance in the organisation?")</f>
        <v>Wie is eigenaar van informatiegovernance in de organisatie?</v>
      </c>
      <c r="D46" s="13"/>
      <c r="E46" s="13"/>
      <c r="F46" s="13"/>
      <c r="G46" s="13"/>
      <c r="H46" s="13"/>
      <c r="I46" s="13"/>
    </row>
    <row r="47" spans="1:9" ht="33.950000000000003" customHeight="1" x14ac:dyDescent="0.2">
      <c r="A47" s="10" t="s">
        <v>47</v>
      </c>
      <c r="B47" s="11" t="str">
        <f>IF(Lang="NL","Bewijs","Evidence")</f>
        <v>Bewijs</v>
      </c>
      <c r="C47" s="12" t="str">
        <f>IF(Lang="NL","Directie of raad van toezicht houdt expliciet toezicht op AI- en informatiegovernancerisico.","Executive or supervisory leadership has explicit oversight of AI and information-governance risk.")</f>
        <v>Directie of raad van toezicht houdt expliciet toezicht op AI- en informatiegovernancerisico.</v>
      </c>
      <c r="D47" s="13"/>
      <c r="E47" s="13"/>
      <c r="F47" s="13"/>
      <c r="G47" s="13"/>
      <c r="H47" s="13"/>
      <c r="I47" s="13"/>
    </row>
    <row r="48" spans="1:9" ht="33.950000000000003" customHeight="1" x14ac:dyDescent="0.2">
      <c r="A48" s="10" t="s">
        <v>48</v>
      </c>
      <c r="B48" s="11" t="str">
        <f>IF(Lang="NL","Bewijs","Evidence")</f>
        <v>Bewijs</v>
      </c>
      <c r="C48" s="12" t="str">
        <f>IF(Lang="NL","De leiding ontvangt regelmatig rapportage over informatie-afhankelijkheden, veerkracht en governance.","Leadership receives regular reporting on information dependencies, resilience and governance.")</f>
        <v>De leiding ontvangt regelmatig rapportage over informatie-afhankelijkheden, veerkracht en governance.</v>
      </c>
      <c r="D48" s="13"/>
      <c r="E48" s="13"/>
      <c r="F48" s="13"/>
      <c r="G48" s="13"/>
      <c r="H48" s="13"/>
      <c r="I48" s="13"/>
    </row>
    <row r="49" spans="1:9" ht="33.950000000000003" customHeight="1" x14ac:dyDescent="0.2">
      <c r="A49" s="10" t="s">
        <v>49</v>
      </c>
      <c r="B49" s="11" t="str">
        <f>IF(Lang="NL","Structureel","Structural")</f>
        <v>Structureel</v>
      </c>
      <c r="C49" s="12" t="str">
        <f>IF(Lang="NL","Hoe vaak beoordeelt de leiding formeel de informatiegovernance?","How often does leadership formally review information governance?")</f>
        <v>Hoe vaak beoordeelt de leiding formeel de informatiegovernance?</v>
      </c>
      <c r="D49" s="13"/>
      <c r="E49" s="13"/>
      <c r="F49" s="13"/>
      <c r="G49" s="13"/>
      <c r="H49" s="13"/>
      <c r="I49" s="13"/>
    </row>
    <row r="50" spans="1:9" ht="33.950000000000003" customHeight="1" x14ac:dyDescent="0.2">
      <c r="A50" s="10" t="s">
        <v>50</v>
      </c>
      <c r="B50" s="11" t="str">
        <f>IF(Lang="NL","Overtuiging","Agreement")</f>
        <v>Overtuiging</v>
      </c>
      <c r="C50" s="12" t="str">
        <f>IF(Lang="NL","Overwegingen van informatiegovernance sturen onze strategische en investeringsbesluiten.","Information-governance considerations shape our strategic and investment decisions.")</f>
        <v>Overwegingen van informatiegovernance sturen onze strategische en investeringsbesluiten.</v>
      </c>
      <c r="D50" s="13"/>
      <c r="E50" s="13"/>
      <c r="F50" s="13"/>
      <c r="G50" s="13"/>
      <c r="H50" s="13"/>
      <c r="I50" s="13"/>
    </row>
  </sheetData>
  <mergeCells count="13">
    <mergeCell ref="A1:I1"/>
    <mergeCell ref="A45:I45"/>
    <mergeCell ref="A9:I9"/>
    <mergeCell ref="A27:I27"/>
    <mergeCell ref="A3:I3"/>
    <mergeCell ref="A39:I39"/>
    <mergeCell ref="A6:B6"/>
    <mergeCell ref="A21:I21"/>
    <mergeCell ref="A15:I15"/>
    <mergeCell ref="F2:G2"/>
    <mergeCell ref="A2:B2"/>
    <mergeCell ref="A33:I33"/>
    <mergeCell ref="A5:B5"/>
  </mergeCells>
  <dataValidations count="12">
    <dataValidation type="list" sqref="C2" xr:uid="{00000000-0002-0000-0100-000000000000}">
      <formula1>"EN,NL"</formula1>
    </dataValidation>
    <dataValidation type="list" allowBlank="1" sqref="D6 E6 F6 G6 H6 I6" xr:uid="{00000000-0002-0000-0100-000001000000}">
      <formula1>roles_disp</formula1>
    </dataValidation>
    <dataValidation type="list" allowBlank="1" sqref="D10:I10 D47:I48 D40:I42 D37:I37 D34:I35 D30:I32 D28:I28 D26:I26 D22:I23 D16:I19 D12:I13" xr:uid="{00000000-0002-0000-0100-000002000000}">
      <formula1>dispB</formula1>
    </dataValidation>
    <dataValidation type="list" allowBlank="1" sqref="D11 E11 F11 G11 H11 I11" xr:uid="{00000000-0002-0000-0100-000003000000}">
      <formula1>dispC_1_2</formula1>
    </dataValidation>
    <dataValidation type="list" allowBlank="1" sqref="D14:I14 D50:I50 D43:I43 D36:I36 D24:I24" xr:uid="{00000000-0002-0000-0100-000006000000}">
      <formula1>dispA</formula1>
    </dataValidation>
    <dataValidation type="list" allowBlank="1" sqref="D20 E20 F20 G20 H20 I20" xr:uid="{00000000-0002-0000-0100-00000B000000}">
      <formula1>dispC_2_5</formula1>
    </dataValidation>
    <dataValidation type="list" allowBlank="1" sqref="D25 E25 F25 G25 H25 I25" xr:uid="{00000000-0002-0000-0100-00000F000000}">
      <formula1>dispC_3_4</formula1>
    </dataValidation>
    <dataValidation type="list" allowBlank="1" sqref="D29 E29 F29 G29 H29 I29" xr:uid="{00000000-0002-0000-0100-000012000000}">
      <formula1>dispC_4_2</formula1>
    </dataValidation>
    <dataValidation type="list" allowBlank="1" sqref="D38 E38 F38 G38 H38 I38" xr:uid="{00000000-0002-0000-0100-00001A000000}">
      <formula1>dispC_5_5</formula1>
    </dataValidation>
    <dataValidation type="list" allowBlank="1" sqref="D44 E44 F44 G44 H44 I44" xr:uid="{00000000-0002-0000-0100-00001F000000}">
      <formula1>dispC_6_5</formula1>
    </dataValidation>
    <dataValidation type="list" allowBlank="1" sqref="D46 E46 F46 G46 H46 I46" xr:uid="{00000000-0002-0000-0100-000020000000}">
      <formula1>dispC_7_1</formula1>
    </dataValidation>
    <dataValidation type="list" allowBlank="1" sqref="D49 E49 F49 G49 H49 I49" xr:uid="{00000000-0002-0000-0100-000023000000}">
      <formula1>dispC_7_4</formula1>
    </dataValidation>
  </dataValidations>
  <pageMargins left="0.75" right="0.75" top="1" bottom="1" header="0.5" footer="0.5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showGridLines="0" workbookViewId="0">
      <pane ySplit="2" topLeftCell="A3" activePane="bottomLeft" state="frozen"/>
      <selection pane="bottomLeft"/>
    </sheetView>
  </sheetViews>
  <sheetFormatPr defaultRowHeight="15" x14ac:dyDescent="0.2"/>
  <cols>
    <col min="1" max="1" width="34.03125" customWidth="1"/>
    <col min="2" max="8" width="11.97265625" customWidth="1"/>
  </cols>
  <sheetData>
    <row r="1" spans="1:8" ht="39.950000000000003" customHeight="1" x14ac:dyDescent="0.2">
      <c r="A1" s="46" t="s">
        <v>51</v>
      </c>
      <c r="B1" s="35"/>
      <c r="C1" s="35"/>
      <c r="D1" s="35"/>
      <c r="E1" s="35"/>
      <c r="F1" s="35"/>
      <c r="G1" s="35"/>
      <c r="H1" s="35"/>
    </row>
    <row r="2" spans="1:8" ht="21.95" customHeight="1" x14ac:dyDescent="0.2">
      <c r="A2" s="47" t="str">
        <f>IF(Lang="NL","Live resultaten over zeven domeinen. Vul antwoorden in op het tabblad Assessment; dit werkt automatisch bij.","Live results across seven domains. Fill answers on the Assessment tab; this updates automatically.")</f>
        <v>Live resultaten over zeven domeinen. Vul antwoorden in op het tabblad Assessment; dit werkt automatisch bij.</v>
      </c>
      <c r="B2" s="35"/>
      <c r="C2" s="35"/>
      <c r="D2" s="35"/>
      <c r="E2" s="35"/>
      <c r="F2" s="35"/>
      <c r="G2" s="35"/>
      <c r="H2" s="35"/>
    </row>
    <row r="4" spans="1:8" x14ac:dyDescent="0.2">
      <c r="A4" s="3" t="str">
        <f>IF(Lang="NL","DOMEINSCORES (0–100)","DOMAIN SCORES (0–100)")</f>
        <v>DOMEINSCORES (0–100)</v>
      </c>
    </row>
    <row r="5" spans="1:8" ht="30" customHeight="1" x14ac:dyDescent="0.2">
      <c r="A5" s="8" t="str">
        <f>IF(Lang="NL","Domein","Domain")</f>
        <v>Domein</v>
      </c>
      <c r="B5" s="14" t="str">
        <f>IF(Assessment!D5="","R1",Assessment!D5)</f>
        <v>R1</v>
      </c>
      <c r="C5" s="14" t="str">
        <f>IF(Assessment!E5="","R2",Assessment!E5)</f>
        <v>R2</v>
      </c>
      <c r="D5" s="14" t="str">
        <f>IF(Assessment!F5="","R3",Assessment!F5)</f>
        <v>R3</v>
      </c>
      <c r="E5" s="14" t="str">
        <f>IF(Assessment!G5="","R4",Assessment!G5)</f>
        <v>R4</v>
      </c>
      <c r="F5" s="14" t="str">
        <f>IF(Assessment!H5="","R5",Assessment!H5)</f>
        <v>R5</v>
      </c>
      <c r="G5" s="14" t="str">
        <f>IF(Assessment!I5="","R6",Assessment!I5)</f>
        <v>R6</v>
      </c>
      <c r="H5" s="15" t="str">
        <f>IF(Lang="NL","Groep","Group")</f>
        <v>Groep</v>
      </c>
    </row>
    <row r="6" spans="1:8" ht="20.100000000000001" customHeight="1" x14ac:dyDescent="0.2">
      <c r="A6" s="16" t="str">
        <f>IF(Lang="NL","01 Digitale soevereiniteit","01 Digital Sovereignty")</f>
        <v>01 Digitale soevereiniteit</v>
      </c>
      <c r="B6" s="17" t="str">
        <f>IF(SUM(Calc!G2:G6)=0,"",ROUND(SUM(Calc!F2:F6)/SUM(Calc!G2:G6)*100,1))</f>
        <v/>
      </c>
      <c r="C6" s="17" t="str">
        <f>IF(SUM(Calc!J2:J6)=0,"",ROUND(SUM(Calc!I2:I6)/SUM(Calc!J2:J6)*100,1))</f>
        <v/>
      </c>
      <c r="D6" s="17" t="str">
        <f>IF(SUM(Calc!M2:M6)=0,"",ROUND(SUM(Calc!L2:L6)/SUM(Calc!M2:M6)*100,1))</f>
        <v/>
      </c>
      <c r="E6" s="17" t="str">
        <f>IF(SUM(Calc!P2:P6)=0,"",ROUND(SUM(Calc!O2:O6)/SUM(Calc!P2:P6)*100,1))</f>
        <v/>
      </c>
      <c r="F6" s="17" t="str">
        <f>IF(SUM(Calc!S2:S6)=0,"",ROUND(SUM(Calc!R2:R6)/SUM(Calc!S2:S6)*100,1))</f>
        <v/>
      </c>
      <c r="G6" s="17" t="str">
        <f>IF(SUM(Calc!V2:V6)=0,"",ROUND(SUM(Calc!U2:U6)/SUM(Calc!V2:V6)*100,1))</f>
        <v/>
      </c>
      <c r="H6" s="18" t="str">
        <f>IF(COUNT(B6:G6)=0,"",ROUND(AVERAGE(B6:G6),1))</f>
        <v/>
      </c>
    </row>
    <row r="7" spans="1:8" ht="20.100000000000001" customHeight="1" x14ac:dyDescent="0.2">
      <c r="A7" s="16" t="str">
        <f>IF(Lang="NL","02 Informatie-intelligentie","02 Information Intelligence")</f>
        <v>02 Informatie-intelligentie</v>
      </c>
      <c r="B7" s="17" t="str">
        <f>IF(SUM(Calc!G7:G11)=0,"",ROUND(SUM(Calc!F7:F11)/SUM(Calc!G7:G11)*100,1))</f>
        <v/>
      </c>
      <c r="C7" s="17" t="str">
        <f>IF(SUM(Calc!J7:J11)=0,"",ROUND(SUM(Calc!I7:I11)/SUM(Calc!J7:J11)*100,1))</f>
        <v/>
      </c>
      <c r="D7" s="17" t="str">
        <f>IF(SUM(Calc!M7:M11)=0,"",ROUND(SUM(Calc!L7:L11)/SUM(Calc!M7:M11)*100,1))</f>
        <v/>
      </c>
      <c r="E7" s="17" t="str">
        <f>IF(SUM(Calc!P7:P11)=0,"",ROUND(SUM(Calc!O7:O11)/SUM(Calc!P7:P11)*100,1))</f>
        <v/>
      </c>
      <c r="F7" s="17" t="str">
        <f>IF(SUM(Calc!S7:S11)=0,"",ROUND(SUM(Calc!R7:R11)/SUM(Calc!S7:S11)*100,1))</f>
        <v/>
      </c>
      <c r="G7" s="17" t="str">
        <f>IF(SUM(Calc!V7:V11)=0,"",ROUND(SUM(Calc!U7:U11)/SUM(Calc!V7:V11)*100,1))</f>
        <v/>
      </c>
      <c r="H7" s="18" t="str">
        <f>IF(COUNT(B7:G7)=0,"",ROUND(AVERAGE(B7:G7),1))</f>
        <v/>
      </c>
    </row>
    <row r="8" spans="1:8" ht="20.100000000000001" customHeight="1" x14ac:dyDescent="0.2">
      <c r="A8" s="16" t="str">
        <f>IF(Lang="NL","03 Waarborgen van pluriformiteit","03 Safeguarding Plurality")</f>
        <v>03 Waarborgen van pluriformiteit</v>
      </c>
      <c r="B8" s="17" t="str">
        <f>IF(SUM(Calc!G12:G16)=0,"",ROUND(SUM(Calc!F12:F16)/SUM(Calc!G12:G16)*100,1))</f>
        <v/>
      </c>
      <c r="C8" s="17" t="str">
        <f>IF(SUM(Calc!J12:J16)=0,"",ROUND(SUM(Calc!I12:I16)/SUM(Calc!J12:J16)*100,1))</f>
        <v/>
      </c>
      <c r="D8" s="17" t="str">
        <f>IF(SUM(Calc!M12:M16)=0,"",ROUND(SUM(Calc!L12:L16)/SUM(Calc!M12:M16)*100,1))</f>
        <v/>
      </c>
      <c r="E8" s="17" t="str">
        <f>IF(SUM(Calc!P12:P16)=0,"",ROUND(SUM(Calc!O12:O16)/SUM(Calc!P12:P16)*100,1))</f>
        <v/>
      </c>
      <c r="F8" s="17" t="str">
        <f>IF(SUM(Calc!S12:S16)=0,"",ROUND(SUM(Calc!R12:R16)/SUM(Calc!S12:S16)*100,1))</f>
        <v/>
      </c>
      <c r="G8" s="17" t="str">
        <f>IF(SUM(Calc!V12:V16)=0,"",ROUND(SUM(Calc!U12:U16)/SUM(Calc!V12:V16)*100,1))</f>
        <v/>
      </c>
      <c r="H8" s="18" t="str">
        <f>IF(COUNT(B8:G8)=0,"",ROUND(AVERAGE(B8:G8),1))</f>
        <v/>
      </c>
    </row>
    <row r="9" spans="1:8" ht="20.100000000000001" customHeight="1" x14ac:dyDescent="0.2">
      <c r="A9" s="16" t="str">
        <f>IF(Lang="NL","04 Modelgovernance","04 Model Governance")</f>
        <v>04 Modelgovernance</v>
      </c>
      <c r="B9" s="17" t="str">
        <f>IF(SUM(Calc!G17:G21)=0,"",ROUND(SUM(Calc!F17:F21)/SUM(Calc!G17:G21)*100,1))</f>
        <v/>
      </c>
      <c r="C9" s="17" t="str">
        <f>IF(SUM(Calc!J17:J21)=0,"",ROUND(SUM(Calc!I17:I21)/SUM(Calc!J17:J21)*100,1))</f>
        <v/>
      </c>
      <c r="D9" s="17" t="str">
        <f>IF(SUM(Calc!M17:M21)=0,"",ROUND(SUM(Calc!L17:L21)/SUM(Calc!M17:M21)*100,1))</f>
        <v/>
      </c>
      <c r="E9" s="17" t="str">
        <f>IF(SUM(Calc!P17:P21)=0,"",ROUND(SUM(Calc!O17:O21)/SUM(Calc!P17:P21)*100,1))</f>
        <v/>
      </c>
      <c r="F9" s="17" t="str">
        <f>IF(SUM(Calc!S17:S21)=0,"",ROUND(SUM(Calc!R17:R21)/SUM(Calc!S17:S21)*100,1))</f>
        <v/>
      </c>
      <c r="G9" s="17" t="str">
        <f>IF(SUM(Calc!V17:V21)=0,"",ROUND(SUM(Calc!U17:U21)/SUM(Calc!V17:V21)*100,1))</f>
        <v/>
      </c>
      <c r="H9" s="18" t="str">
        <f>IF(COUNT(B9:G9)=0,"",ROUND(AVERAGE(B9:G9),1))</f>
        <v/>
      </c>
    </row>
    <row r="10" spans="1:8" ht="20.100000000000001" customHeight="1" x14ac:dyDescent="0.2">
      <c r="A10" s="16" t="str">
        <f>IF(Lang="NL","05 Kennisbeheer","05 Knowledge Stewardship")</f>
        <v>05 Kennisbeheer</v>
      </c>
      <c r="B10" s="17" t="str">
        <f>IF(SUM(Calc!G22:G26)=0,"",ROUND(SUM(Calc!F22:F26)/SUM(Calc!G22:G26)*100,1))</f>
        <v/>
      </c>
      <c r="C10" s="17" t="str">
        <f>IF(SUM(Calc!J22:J26)=0,"",ROUND(SUM(Calc!I22:I26)/SUM(Calc!J22:J26)*100,1))</f>
        <v/>
      </c>
      <c r="D10" s="17" t="str">
        <f>IF(SUM(Calc!M22:M26)=0,"",ROUND(SUM(Calc!L22:L26)/SUM(Calc!M22:M26)*100,1))</f>
        <v/>
      </c>
      <c r="E10" s="17" t="str">
        <f>IF(SUM(Calc!P22:P26)=0,"",ROUND(SUM(Calc!O22:O26)/SUM(Calc!P22:P26)*100,1))</f>
        <v/>
      </c>
      <c r="F10" s="17" t="str">
        <f>IF(SUM(Calc!S22:S26)=0,"",ROUND(SUM(Calc!R22:R26)/SUM(Calc!S22:S26)*100,1))</f>
        <v/>
      </c>
      <c r="G10" s="17" t="str">
        <f>IF(SUM(Calc!V22:V26)=0,"",ROUND(SUM(Calc!U22:U26)/SUM(Calc!V22:V26)*100,1))</f>
        <v/>
      </c>
      <c r="H10" s="18" t="str">
        <f>IF(COUNT(B10:G10)=0,"",ROUND(AVERAGE(B10:G10),1))</f>
        <v/>
      </c>
    </row>
    <row r="11" spans="1:8" ht="20.100000000000001" customHeight="1" x14ac:dyDescent="0.2">
      <c r="A11" s="16" t="str">
        <f>IF(Lang="NL","06 Strategische informatie-autonomie","06 Strategic Information Autonomy")</f>
        <v>06 Strategische informatie-autonomie</v>
      </c>
      <c r="B11" s="17" t="str">
        <f>IF(SUM(Calc!G27:G31)=0,"",ROUND(SUM(Calc!F27:F31)/SUM(Calc!G27:G31)*100,1))</f>
        <v/>
      </c>
      <c r="C11" s="17" t="str">
        <f>IF(SUM(Calc!J27:J31)=0,"",ROUND(SUM(Calc!I27:I31)/SUM(Calc!J27:J31)*100,1))</f>
        <v/>
      </c>
      <c r="D11" s="17" t="str">
        <f>IF(SUM(Calc!M27:M31)=0,"",ROUND(SUM(Calc!L27:L31)/SUM(Calc!M27:M31)*100,1))</f>
        <v/>
      </c>
      <c r="E11" s="17" t="str">
        <f>IF(SUM(Calc!P27:P31)=0,"",ROUND(SUM(Calc!O27:O31)/SUM(Calc!P27:P31)*100,1))</f>
        <v/>
      </c>
      <c r="F11" s="17" t="str">
        <f>IF(SUM(Calc!S27:S31)=0,"",ROUND(SUM(Calc!R27:R31)/SUM(Calc!S27:S31)*100,1))</f>
        <v/>
      </c>
      <c r="G11" s="17" t="str">
        <f>IF(SUM(Calc!V27:V31)=0,"",ROUND(SUM(Calc!U27:U31)/SUM(Calc!V27:V31)*100,1))</f>
        <v/>
      </c>
      <c r="H11" s="18" t="str">
        <f>IF(COUNT(B11:G11)=0,"",ROUND(AVERAGE(B11:G11),1))</f>
        <v/>
      </c>
    </row>
    <row r="12" spans="1:8" ht="20.100000000000001" customHeight="1" x14ac:dyDescent="0.2">
      <c r="A12" s="16" t="str">
        <f>IF(Lang="NL","07 Bestuurlijke verantwoordelijkheid","07 Executive Responsibility")</f>
        <v>07 Bestuurlijke verantwoordelijkheid</v>
      </c>
      <c r="B12" s="17" t="str">
        <f>IF(SUM(Calc!G32:G36)=0,"",ROUND(SUM(Calc!F32:F36)/SUM(Calc!G32:G36)*100,1))</f>
        <v/>
      </c>
      <c r="C12" s="17" t="str">
        <f>IF(SUM(Calc!J32:J36)=0,"",ROUND(SUM(Calc!I32:I36)/SUM(Calc!J32:J36)*100,1))</f>
        <v/>
      </c>
      <c r="D12" s="17" t="str">
        <f>IF(SUM(Calc!M32:M36)=0,"",ROUND(SUM(Calc!L32:L36)/SUM(Calc!M32:M36)*100,1))</f>
        <v/>
      </c>
      <c r="E12" s="17" t="str">
        <f>IF(SUM(Calc!P32:P36)=0,"",ROUND(SUM(Calc!O32:O36)/SUM(Calc!P32:P36)*100,1))</f>
        <v/>
      </c>
      <c r="F12" s="17" t="str">
        <f>IF(SUM(Calc!S32:S36)=0,"",ROUND(SUM(Calc!R32:R36)/SUM(Calc!S32:S36)*100,1))</f>
        <v/>
      </c>
      <c r="G12" s="17" t="str">
        <f>IF(SUM(Calc!V32:V36)=0,"",ROUND(SUM(Calc!U32:U36)/SUM(Calc!V32:V36)*100,1))</f>
        <v/>
      </c>
      <c r="H12" s="18" t="str">
        <f>IF(COUNT(B12:G12)=0,"",ROUND(AVERAGE(B12:G12),1))</f>
        <v/>
      </c>
    </row>
    <row r="13" spans="1:8" ht="21.95" customHeight="1" x14ac:dyDescent="0.2">
      <c r="A13" s="19" t="str">
        <f>IF(Lang="NL","Totaal  =  0,75·gem. + 0,25·min","Overall  =  0.75·mean + 0.25·min")</f>
        <v>Totaal  =  0,75·gem. + 0,25·min</v>
      </c>
      <c r="B13" s="20" t="str">
        <f>IF(COUNT(B6:B12)=0,"",ROUND(0.75*AVERAGE(B6:B12)+0.25*MIN(B6:B12),1))</f>
        <v/>
      </c>
      <c r="C13" s="20" t="str">
        <f>IF(COUNT(C6:C12)=0,"",ROUND(0.75*AVERAGE(C6:C12)+0.25*MIN(C6:C12),1))</f>
        <v/>
      </c>
      <c r="D13" s="20" t="str">
        <f>IF(COUNT(D6:D12)=0,"",ROUND(0.75*AVERAGE(D6:D12)+0.25*MIN(D6:D12),1))</f>
        <v/>
      </c>
      <c r="E13" s="20" t="str">
        <f>IF(COUNT(E6:E12)=0,"",ROUND(0.75*AVERAGE(E6:E12)+0.25*MIN(E6:E12),1))</f>
        <v/>
      </c>
      <c r="F13" s="20" t="str">
        <f>IF(COUNT(F6:F12)=0,"",ROUND(0.75*AVERAGE(F6:F12)+0.25*MIN(F6:F12),1))</f>
        <v/>
      </c>
      <c r="G13" s="20" t="str">
        <f>IF(COUNT(G6:G12)=0,"",ROUND(0.75*AVERAGE(G6:G12)+0.25*MIN(G6:G12),1))</f>
        <v/>
      </c>
      <c r="H13" s="20" t="str">
        <f>IF(COUNT(H6:H12)=0,"",ROUND(0.75*AVERAGE(H6:H12)+0.25*MIN(H6:H12),1))</f>
        <v/>
      </c>
    </row>
    <row r="14" spans="1:8" ht="30" customHeight="1" x14ac:dyDescent="0.2">
      <c r="A14" s="21" t="str">
        <f>IF(Lang="NL","Volwassenheidsniveau","Maturity level")</f>
        <v>Volwassenheidsniveau</v>
      </c>
      <c r="B14" s="22" t="str">
        <f>IF(B13="","","L"&amp;(MIN(5,INT(B13/20)+1))&amp;" · "&amp;INDEX(lvl_disp,MIN(5,INT(B13/20)+1)))</f>
        <v/>
      </c>
      <c r="C14" s="22" t="str">
        <f>IF(C13="","","L"&amp;(MIN(5,INT(C13/20)+1))&amp;" · "&amp;INDEX(lvl_disp,MIN(5,INT(C13/20)+1)))</f>
        <v/>
      </c>
      <c r="D14" s="22" t="str">
        <f>IF(D13="","","L"&amp;(MIN(5,INT(D13/20)+1))&amp;" · "&amp;INDEX(lvl_disp,MIN(5,INT(D13/20)+1)))</f>
        <v/>
      </c>
      <c r="E14" s="22" t="str">
        <f>IF(E13="","","L"&amp;(MIN(5,INT(E13/20)+1))&amp;" · "&amp;INDEX(lvl_disp,MIN(5,INT(E13/20)+1)))</f>
        <v/>
      </c>
      <c r="F14" s="22" t="str">
        <f>IF(F13="","","L"&amp;(MIN(5,INT(F13/20)+1))&amp;" · "&amp;INDEX(lvl_disp,MIN(5,INT(F13/20)+1)))</f>
        <v/>
      </c>
      <c r="G14" s="22" t="str">
        <f>IF(G13="","","L"&amp;(MIN(5,INT(G13/20)+1))&amp;" · "&amp;INDEX(lvl_disp,MIN(5,INT(G13/20)+1)))</f>
        <v/>
      </c>
      <c r="H14" s="22" t="str">
        <f>IF(H13="","","L"&amp;(MIN(5,INT(H13/20)+1))&amp;" · "&amp;INDEX(lvl_disp,MIN(5,INT(H13/20)+1)))</f>
        <v/>
      </c>
    </row>
    <row r="17" spans="1:8" x14ac:dyDescent="0.2">
      <c r="A17" s="3" t="str">
        <f>IF(Lang="NL","AFSTEMMINGSINDEX (meerdere respondenten)","ALIGNMENT INDEX (multi-respondent)")</f>
        <v>AFSTEMMINGSINDEX (meerdere respondenten)</v>
      </c>
    </row>
    <row r="18" spans="1:8" ht="45.95" customHeight="1" x14ac:dyDescent="0.2">
      <c r="A18" s="50" t="str">
        <f>IF(Lang="NL","Index  =  100 − gem.(spreiding)","Index  =  100 − mean(range)")</f>
        <v>Index  =  100 − gem.(spreiding)</v>
      </c>
      <c r="B18" s="35"/>
      <c r="C18" s="24">
        <f>IF(COUNTA(B5:G5)=0,"",ROUND(100-AVERAGE(D21:D27),1))</f>
        <v>100</v>
      </c>
      <c r="D18" s="51" t="str">
        <f>IF(Lang="NL","/ 100 afgestemd. Hoger = leiders delen een beeld; grote verschillen zijn zelf een governancerisico.","/ 100 aligned. Higher = leaders share a view; wide gaps are themselves a governance risk.")</f>
        <v>/ 100 afgestemd. Hoger = leiders delen een beeld; grote verschillen zijn zelf een governancerisico.</v>
      </c>
      <c r="E18" s="35"/>
      <c r="F18" s="35"/>
      <c r="G18" s="35"/>
      <c r="H18" s="35"/>
    </row>
    <row r="20" spans="1:8" ht="18" customHeight="1" x14ac:dyDescent="0.2">
      <c r="A20" s="25" t="str">
        <f>IF(Lang="NL","Domein","Domain")</f>
        <v>Domein</v>
      </c>
      <c r="B20" s="26" t="str">
        <f>IF(Lang="NL","Laagste","Lowest")</f>
        <v>Laagste</v>
      </c>
      <c r="C20" s="26" t="str">
        <f>IF(Lang="NL","Hoogste","Highest")</f>
        <v>Hoogste</v>
      </c>
      <c r="D20" s="26" t="str">
        <f>IF(Lang="NL","Spreiding","Range")</f>
        <v>Spreiding</v>
      </c>
      <c r="E20" s="26" t="str">
        <f>IF(Lang="NL","Signaal (≥30)","Flag (≥30)")</f>
        <v>Signaal (≥30)</v>
      </c>
    </row>
    <row r="21" spans="1:8" ht="18" customHeight="1" x14ac:dyDescent="0.2">
      <c r="A21" s="16" t="str">
        <f>IF(Lang="NL","Digitale soevereiniteit","Digital Sovereignty")</f>
        <v>Digitale soevereiniteit</v>
      </c>
      <c r="B21" s="27" t="str">
        <f>IF(COUNT(B6:G6)=0,"",ROUND(MIN(B6:G6),1))</f>
        <v/>
      </c>
      <c r="C21" s="27" t="str">
        <f>IF(COUNT(B6:G6)=0,"",ROUND(MAX(B6:G6),1))</f>
        <v/>
      </c>
      <c r="D21" s="27">
        <f>IF(COUNT(B6:G6)&lt;2,0,ROUND(MAX(B6:G6)-MIN(B6:G6),1))</f>
        <v>0</v>
      </c>
      <c r="E21" s="28" t="str">
        <f>IF(D21&gt;=30,IF(Lang="NL","◆ uiteenlopend","◆ diverges"),"")</f>
        <v/>
      </c>
    </row>
    <row r="22" spans="1:8" ht="18" customHeight="1" x14ac:dyDescent="0.2">
      <c r="A22" s="16" t="str">
        <f>IF(Lang="NL","Informatie-intelligentie","Information Intelligence")</f>
        <v>Informatie-intelligentie</v>
      </c>
      <c r="B22" s="27" t="str">
        <f>IF(COUNT(B7:G7)=0,"",ROUND(MIN(B7:G7),1))</f>
        <v/>
      </c>
      <c r="C22" s="27" t="str">
        <f>IF(COUNT(B7:G7)=0,"",ROUND(MAX(B7:G7),1))</f>
        <v/>
      </c>
      <c r="D22" s="27">
        <f>IF(COUNT(B7:G7)&lt;2,0,ROUND(MAX(B7:G7)-MIN(B7:G7),1))</f>
        <v>0</v>
      </c>
      <c r="E22" s="28" t="str">
        <f>IF(D22&gt;=30,IF(Lang="NL","◆ uiteenlopend","◆ diverges"),"")</f>
        <v/>
      </c>
    </row>
    <row r="23" spans="1:8" ht="18" customHeight="1" x14ac:dyDescent="0.2">
      <c r="A23" s="16" t="str">
        <f>IF(Lang="NL","Waarborgen van pluriformiteit","Safeguarding Plurality")</f>
        <v>Waarborgen van pluriformiteit</v>
      </c>
      <c r="B23" s="27" t="str">
        <f>IF(COUNT(B8:G8)=0,"",ROUND(MIN(B8:G8),1))</f>
        <v/>
      </c>
      <c r="C23" s="27" t="str">
        <f>IF(COUNT(B8:G8)=0,"",ROUND(MAX(B8:G8),1))</f>
        <v/>
      </c>
      <c r="D23" s="27">
        <f>IF(COUNT(B8:G8)&lt;2,0,ROUND(MAX(B8:G8)-MIN(B8:G8),1))</f>
        <v>0</v>
      </c>
      <c r="E23" s="28" t="str">
        <f>IF(D23&gt;=30,IF(Lang="NL","◆ uiteenlopend","◆ diverges"),"")</f>
        <v/>
      </c>
    </row>
    <row r="24" spans="1:8" ht="18" customHeight="1" x14ac:dyDescent="0.2">
      <c r="A24" s="16" t="str">
        <f>IF(Lang="NL","Modelgovernance","Model Governance")</f>
        <v>Modelgovernance</v>
      </c>
      <c r="B24" s="27" t="str">
        <f>IF(COUNT(B9:G9)=0,"",ROUND(MIN(B9:G9),1))</f>
        <v/>
      </c>
      <c r="C24" s="27" t="str">
        <f>IF(COUNT(B9:G9)=0,"",ROUND(MAX(B9:G9),1))</f>
        <v/>
      </c>
      <c r="D24" s="27">
        <f>IF(COUNT(B9:G9)&lt;2,0,ROUND(MAX(B9:G9)-MIN(B9:G9),1))</f>
        <v>0</v>
      </c>
      <c r="E24" s="28" t="str">
        <f>IF(D24&gt;=30,IF(Lang="NL","◆ uiteenlopend","◆ diverges"),"")</f>
        <v/>
      </c>
    </row>
    <row r="25" spans="1:8" ht="18" customHeight="1" x14ac:dyDescent="0.2">
      <c r="A25" s="16" t="str">
        <f>IF(Lang="NL","Kennisbeheer","Knowledge Stewardship")</f>
        <v>Kennisbeheer</v>
      </c>
      <c r="B25" s="27" t="str">
        <f>IF(COUNT(B10:G10)=0,"",ROUND(MIN(B10:G10),1))</f>
        <v/>
      </c>
      <c r="C25" s="27" t="str">
        <f>IF(COUNT(B10:G10)=0,"",ROUND(MAX(B10:G10),1))</f>
        <v/>
      </c>
      <c r="D25" s="27">
        <f>IF(COUNT(B10:G10)&lt;2,0,ROUND(MAX(B10:G10)-MIN(B10:G10),1))</f>
        <v>0</v>
      </c>
      <c r="E25" s="28" t="str">
        <f>IF(D25&gt;=30,IF(Lang="NL","◆ uiteenlopend","◆ diverges"),"")</f>
        <v/>
      </c>
    </row>
    <row r="26" spans="1:8" ht="18" customHeight="1" x14ac:dyDescent="0.2">
      <c r="A26" s="16" t="str">
        <f>IF(Lang="NL","Strategische informatie-autonomie","Strategic Information Autonomy")</f>
        <v>Strategische informatie-autonomie</v>
      </c>
      <c r="B26" s="27" t="str">
        <f>IF(COUNT(B11:G11)=0,"",ROUND(MIN(B11:G11),1))</f>
        <v/>
      </c>
      <c r="C26" s="27" t="str">
        <f>IF(COUNT(B11:G11)=0,"",ROUND(MAX(B11:G11),1))</f>
        <v/>
      </c>
      <c r="D26" s="27">
        <f>IF(COUNT(B11:G11)&lt;2,0,ROUND(MAX(B11:G11)-MIN(B11:G11),1))</f>
        <v>0</v>
      </c>
      <c r="E26" s="28" t="str">
        <f>IF(D26&gt;=30,IF(Lang="NL","◆ uiteenlopend","◆ diverges"),"")</f>
        <v/>
      </c>
    </row>
    <row r="27" spans="1:8" ht="18" customHeight="1" x14ac:dyDescent="0.2">
      <c r="A27" s="16" t="str">
        <f>IF(Lang="NL","Bestuurlijke verantwoordelijkheid","Executive Responsibility")</f>
        <v>Bestuurlijke verantwoordelijkheid</v>
      </c>
      <c r="B27" s="27" t="str">
        <f>IF(COUNT(B12:G12)=0,"",ROUND(MIN(B12:G12),1))</f>
        <v/>
      </c>
      <c r="C27" s="27" t="str">
        <f>IF(COUNT(B12:G12)=0,"",ROUND(MAX(B12:G12),1))</f>
        <v/>
      </c>
      <c r="D27" s="27">
        <f>IF(COUNT(B12:G12)&lt;2,0,ROUND(MAX(B12:G12)-MIN(B12:G12),1))</f>
        <v>0</v>
      </c>
      <c r="E27" s="28" t="str">
        <f>IF(D27&gt;=30,IF(Lang="NL","◆ uiteenlopend","◆ diverges"),"")</f>
        <v/>
      </c>
    </row>
    <row r="30" spans="1:8" x14ac:dyDescent="0.2">
      <c r="A30" s="3" t="str">
        <f>IF(Lang="NL","BENCHMARK (illustratief)","BENCHMARK (illustrative)")</f>
        <v>BENCHMARK (illustratief)</v>
      </c>
    </row>
    <row r="31" spans="1:8" x14ac:dyDescent="0.2">
      <c r="A31" s="49" t="str">
        <f>IF(Lang="NL","Uw groepstotaal tegen illustratieve peer-mediaan. Alleen referentiewaarden, om de score te kaderen.","Your group overall against illustrative peer medians. Reference values only, shown to frame the score.")</f>
        <v>Uw groepstotaal tegen illustratieve peer-mediaan. Alleen referentiewaarden, om de score te kaderen.</v>
      </c>
      <c r="B31" s="35"/>
      <c r="C31" s="35"/>
      <c r="D31" s="35"/>
      <c r="E31" s="35"/>
      <c r="F31" s="35"/>
      <c r="G31" s="35"/>
      <c r="H31" s="35"/>
    </row>
    <row r="33" spans="1:3" x14ac:dyDescent="0.2">
      <c r="A33" s="29" t="str">
        <f>IF(Lang="NL","Uw groepstotaal","Your group overall")</f>
        <v>Uw groepstotaal</v>
      </c>
      <c r="B33" s="30" t="str">
        <f>IF(H13="","—",H13)</f>
        <v>—</v>
      </c>
    </row>
    <row r="34" spans="1:3" x14ac:dyDescent="0.2">
      <c r="A34" s="23" t="str">
        <f>IF(Lang="NL","Europese digital-first","European digital-first")&amp;"  (illustrative)"</f>
        <v>Europese digital-first  (illustrative)</v>
      </c>
      <c r="B34" s="31">
        <v>58</v>
      </c>
      <c r="C34" s="32">
        <v>58</v>
      </c>
    </row>
    <row r="35" spans="1:3" x14ac:dyDescent="0.2">
      <c r="A35" s="23" t="str">
        <f>IF(Lang="NL","Publieke omroepen","Public broadcasters")&amp;"  (illustrative)"</f>
        <v>Publieke omroepen  (illustrative)</v>
      </c>
      <c r="B35" s="31">
        <v>54</v>
      </c>
      <c r="C35" s="32">
        <v>54</v>
      </c>
    </row>
    <row r="36" spans="1:3" x14ac:dyDescent="0.2">
      <c r="A36" s="23" t="str">
        <f>IF(Lang="NL","Legacy printgroepen","Legacy print groups")&amp;"  (illustrative)"</f>
        <v>Legacy printgroepen  (illustrative)</v>
      </c>
      <c r="B36" s="31">
        <v>41</v>
      </c>
      <c r="C36" s="32">
        <v>41</v>
      </c>
    </row>
    <row r="37" spans="1:3" x14ac:dyDescent="0.2">
      <c r="A37" s="23" t="str">
        <f>IF(Lang="NL","Internationale grootmachten","International majors")&amp;"  (illustrative)"</f>
        <v>Internationale grootmachten  (illustrative)</v>
      </c>
      <c r="B37" s="31">
        <v>63</v>
      </c>
      <c r="C37" s="32">
        <v>63</v>
      </c>
    </row>
  </sheetData>
  <mergeCells count="5">
    <mergeCell ref="A31:H31"/>
    <mergeCell ref="A2:H2"/>
    <mergeCell ref="A1:H1"/>
    <mergeCell ref="A18:B18"/>
    <mergeCell ref="D18:H18"/>
  </mergeCells>
  <conditionalFormatting sqref="A21:E27">
    <cfRule type="expression" dxfId="0" priority="3">
      <formula>$D21&gt;=30</formula>
    </cfRule>
  </conditionalFormatting>
  <conditionalFormatting sqref="B6:G12">
    <cfRule type="colorScale" priority="2">
      <colorScale>
        <cfvo type="num" val="0"/>
        <cfvo type="num" val="50"/>
        <cfvo type="num" val="100"/>
        <color rgb="FFE8C9B3"/>
        <color rgb="FFF7F1E4"/>
        <color rgb="FFD4E8EC"/>
      </colorScale>
    </cfRule>
  </conditionalFormatting>
  <conditionalFormatting sqref="C34:C37">
    <cfRule type="dataBar" priority="4">
      <dataBar>
        <cfvo type="num" val="0"/>
        <cfvo type="num" val="100"/>
        <color rgb="FFE8B864"/>
      </dataBar>
    </cfRule>
  </conditionalFormatting>
  <conditionalFormatting sqref="H6:H12">
    <cfRule type="dataBar" priority="1">
      <dataBar>
        <cfvo type="num" val="0"/>
        <cfvo type="num" val="100"/>
        <color rgb="FF5BA3B4"/>
      </dataBar>
    </cfRule>
  </conditionalFormatting>
  <pageMargins left="0.75" right="0.75" top="1" bottom="1" header="0.5" footer="0.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1"/>
  <sheetViews>
    <sheetView showGridLines="0" workbookViewId="0"/>
  </sheetViews>
  <sheetFormatPr defaultRowHeight="15" x14ac:dyDescent="0.2"/>
  <cols>
    <col min="1" max="1" width="7.93359375" customWidth="1"/>
    <col min="2" max="4" width="39.953125" customWidth="1"/>
    <col min="6" max="8" width="22.05859375" customWidth="1"/>
    <col min="10" max="10" width="4.03515625" customWidth="1"/>
    <col min="11" max="13" width="22.05859375" customWidth="1"/>
  </cols>
  <sheetData>
    <row r="1" spans="1:13" x14ac:dyDescent="0.2">
      <c r="A1" s="33" t="s">
        <v>52</v>
      </c>
    </row>
    <row r="2" spans="1:13" x14ac:dyDescent="0.2">
      <c r="A2">
        <v>0</v>
      </c>
      <c r="B2" t="s">
        <v>53</v>
      </c>
      <c r="C2" t="s">
        <v>54</v>
      </c>
      <c r="D2" t="str">
        <f>IF(Lang="NL",C2,B2)</f>
        <v>Zeer oneens</v>
      </c>
      <c r="F2" t="s">
        <v>55</v>
      </c>
      <c r="G2" t="s">
        <v>56</v>
      </c>
      <c r="H2" t="str">
        <f>IF(Lang="NL",G2,F2)</f>
        <v>Hoofdredacteur</v>
      </c>
      <c r="J2">
        <v>1</v>
      </c>
      <c r="K2" t="s">
        <v>57</v>
      </c>
      <c r="L2" t="s">
        <v>58</v>
      </c>
      <c r="M2" t="str">
        <f>IF(Lang="NL",L2,K2)</f>
        <v>Bewustwording</v>
      </c>
    </row>
    <row r="3" spans="1:13" x14ac:dyDescent="0.2">
      <c r="A3">
        <v>1</v>
      </c>
      <c r="B3" t="s">
        <v>59</v>
      </c>
      <c r="C3" t="s">
        <v>60</v>
      </c>
      <c r="D3" t="str">
        <f>IF(Lang="NL",C3,B3)</f>
        <v>Oneens</v>
      </c>
      <c r="F3" t="s">
        <v>61</v>
      </c>
      <c r="G3" t="s">
        <v>62</v>
      </c>
      <c r="H3" t="str">
        <f>IF(Lang="NL",G3,F3)</f>
        <v>Uitgever</v>
      </c>
      <c r="J3">
        <v>2</v>
      </c>
      <c r="K3" t="s">
        <v>63</v>
      </c>
      <c r="L3" t="s">
        <v>64</v>
      </c>
      <c r="M3" t="str">
        <f>IF(Lang="NL",L3,K3)</f>
        <v>Experimenteren</v>
      </c>
    </row>
    <row r="4" spans="1:13" x14ac:dyDescent="0.2">
      <c r="A4">
        <v>2</v>
      </c>
      <c r="B4" t="s">
        <v>65</v>
      </c>
      <c r="C4" t="s">
        <v>66</v>
      </c>
      <c r="D4" t="str">
        <f>IF(Lang="NL",C4,B4)</f>
        <v>Neutraal</v>
      </c>
      <c r="F4" t="s">
        <v>67</v>
      </c>
      <c r="G4" t="s">
        <v>67</v>
      </c>
      <c r="H4" t="str">
        <f>IF(Lang="NL",G4,F4)</f>
        <v>CEO</v>
      </c>
      <c r="J4">
        <v>3</v>
      </c>
      <c r="K4" t="s">
        <v>68</v>
      </c>
      <c r="L4" t="s">
        <v>69</v>
      </c>
      <c r="M4" t="str">
        <f>IF(Lang="NL",L4,K4)</f>
        <v>Gestructureerde governance</v>
      </c>
    </row>
    <row r="5" spans="1:13" x14ac:dyDescent="0.2">
      <c r="A5">
        <v>3</v>
      </c>
      <c r="B5" t="s">
        <v>70</v>
      </c>
      <c r="C5" t="s">
        <v>71</v>
      </c>
      <c r="D5" t="str">
        <f>IF(Lang="NL",C5,B5)</f>
        <v>Eens</v>
      </c>
      <c r="F5" t="s">
        <v>72</v>
      </c>
      <c r="G5" t="s">
        <v>72</v>
      </c>
      <c r="H5" t="str">
        <f>IF(Lang="NL",G5,F5)</f>
        <v>CTO</v>
      </c>
      <c r="J5">
        <v>4</v>
      </c>
      <c r="K5" t="s">
        <v>73</v>
      </c>
      <c r="L5" t="s">
        <v>74</v>
      </c>
      <c r="M5" t="str">
        <f>IF(Lang="NL",L5,K5)</f>
        <v>Geïntegreerde governance</v>
      </c>
    </row>
    <row r="6" spans="1:13" x14ac:dyDescent="0.2">
      <c r="A6">
        <v>4</v>
      </c>
      <c r="B6" t="s">
        <v>75</v>
      </c>
      <c r="C6" t="s">
        <v>76</v>
      </c>
      <c r="D6" t="str">
        <f>IF(Lang="NL",C6,B6)</f>
        <v>Zeer eens</v>
      </c>
      <c r="F6" t="s">
        <v>77</v>
      </c>
      <c r="G6" t="s">
        <v>78</v>
      </c>
      <c r="H6" t="str">
        <f>IF(Lang="NL",G6,F6)</f>
        <v>Hoofd redactionele innovatie</v>
      </c>
      <c r="J6">
        <v>5</v>
      </c>
      <c r="K6" t="s">
        <v>79</v>
      </c>
      <c r="L6" t="s">
        <v>80</v>
      </c>
      <c r="M6" t="str">
        <f>IF(Lang="NL",L6,K6)</f>
        <v>Strategisch leiderschap</v>
      </c>
    </row>
    <row r="7" spans="1:13" x14ac:dyDescent="0.2">
      <c r="F7" t="s">
        <v>81</v>
      </c>
      <c r="G7" t="s">
        <v>82</v>
      </c>
      <c r="H7" t="str">
        <f>IF(Lang="NL",G7,F7)</f>
        <v>Lid raad van toezicht/bestuur</v>
      </c>
    </row>
    <row r="8" spans="1:13" x14ac:dyDescent="0.2">
      <c r="A8">
        <v>0</v>
      </c>
      <c r="B8" t="s">
        <v>83</v>
      </c>
      <c r="C8" t="s">
        <v>84</v>
      </c>
      <c r="D8" t="str">
        <f>IF(Lang="NL",C8,B8)</f>
        <v>Nee</v>
      </c>
    </row>
    <row r="9" spans="1:13" x14ac:dyDescent="0.2">
      <c r="A9">
        <v>1</v>
      </c>
      <c r="B9" t="s">
        <v>85</v>
      </c>
      <c r="C9" t="s">
        <v>86</v>
      </c>
      <c r="D9" t="str">
        <f>IF(Lang="NL",C9,B9)</f>
        <v>Deels</v>
      </c>
    </row>
    <row r="10" spans="1:13" x14ac:dyDescent="0.2">
      <c r="A10">
        <v>2</v>
      </c>
      <c r="B10" t="s">
        <v>87</v>
      </c>
      <c r="C10" t="s">
        <v>88</v>
      </c>
      <c r="D10" t="str">
        <f>IF(Lang="NL",C10,B10)</f>
        <v>Ja</v>
      </c>
    </row>
    <row r="11" spans="1:13" x14ac:dyDescent="0.2">
      <c r="A11">
        <v>3</v>
      </c>
      <c r="B11" t="s">
        <v>89</v>
      </c>
      <c r="C11" t="s">
        <v>90</v>
      </c>
      <c r="D11" t="str">
        <f>IF(Lang="NL",C11,B11)</f>
        <v>Gedocumenteerd</v>
      </c>
    </row>
    <row r="12" spans="1:13" x14ac:dyDescent="0.2">
      <c r="A12">
        <v>4</v>
      </c>
      <c r="B12" t="s">
        <v>91</v>
      </c>
      <c r="C12" t="s">
        <v>92</v>
      </c>
      <c r="D12" t="str">
        <f>IF(Lang="NL",C12,B12)</f>
        <v>Gedocumenteerd &amp; regelmatig herzien</v>
      </c>
    </row>
    <row r="15" spans="1:13" x14ac:dyDescent="0.2">
      <c r="A15" t="s">
        <v>93</v>
      </c>
      <c r="B15" t="s">
        <v>94</v>
      </c>
      <c r="C15" t="s">
        <v>95</v>
      </c>
      <c r="D15" t="str">
        <f>IF(Lang="NL",C15,B15)</f>
        <v>Nooit beoordeeld</v>
      </c>
    </row>
    <row r="16" spans="1:13" x14ac:dyDescent="0.2">
      <c r="A16" t="s">
        <v>96</v>
      </c>
      <c r="B16" t="s">
        <v>97</v>
      </c>
      <c r="C16" t="s">
        <v>98</v>
      </c>
      <c r="D16" t="str">
        <f>IF(Lang="NL",C16,B16)</f>
        <v>Één leverancier levert het meeste, onbekeken</v>
      </c>
    </row>
    <row r="17" spans="1:4" x14ac:dyDescent="0.2">
      <c r="A17" t="s">
        <v>99</v>
      </c>
      <c r="B17" t="s">
        <v>100</v>
      </c>
      <c r="C17" t="s">
        <v>101</v>
      </c>
      <c r="D17" t="str">
        <f>IF(Lang="NL",C17,B17)</f>
        <v>Bekend maar onbeheerd</v>
      </c>
    </row>
    <row r="18" spans="1:4" x14ac:dyDescent="0.2">
      <c r="A18" t="s">
        <v>102</v>
      </c>
      <c r="B18" t="s">
        <v>103</v>
      </c>
      <c r="C18" t="s">
        <v>104</v>
      </c>
      <c r="D18" t="str">
        <f>IF(Lang="NL",C18,B18)</f>
        <v>Bekend en actief beheerd</v>
      </c>
    </row>
    <row r="19" spans="1:4" x14ac:dyDescent="0.2">
      <c r="A19" t="s">
        <v>105</v>
      </c>
      <c r="B19" t="s">
        <v>106</v>
      </c>
      <c r="C19" t="s">
        <v>107</v>
      </c>
      <c r="D19" t="str">
        <f>IF(Lang="NL",C19,B19)</f>
        <v>Bewust gespreid, met eigenaren</v>
      </c>
    </row>
    <row r="21" spans="1:4" x14ac:dyDescent="0.2">
      <c r="A21" t="s">
        <v>108</v>
      </c>
      <c r="B21" t="s">
        <v>109</v>
      </c>
      <c r="C21" t="s">
        <v>110</v>
      </c>
      <c r="D21" t="str">
        <f>IF(Lang="NL",C21,B21)</f>
        <v>Afwezig</v>
      </c>
    </row>
    <row r="22" spans="1:4" x14ac:dyDescent="0.2">
      <c r="A22" t="s">
        <v>111</v>
      </c>
      <c r="B22" t="s">
        <v>112</v>
      </c>
      <c r="C22" t="s">
        <v>113</v>
      </c>
      <c r="D22" t="str">
        <f>IF(Lang="NL",C22,B22)</f>
        <v>Enkelen experimenteren</v>
      </c>
    </row>
    <row r="23" spans="1:4" x14ac:dyDescent="0.2">
      <c r="A23" t="s">
        <v>114</v>
      </c>
      <c r="B23" t="s">
        <v>115</v>
      </c>
      <c r="C23" t="s">
        <v>116</v>
      </c>
      <c r="D23" t="str">
        <f>IF(Lang="NL",C23,B23)</f>
        <v>Ad hoc over desks</v>
      </c>
    </row>
    <row r="24" spans="1:4" x14ac:dyDescent="0.2">
      <c r="A24" t="s">
        <v>117</v>
      </c>
      <c r="B24" t="s">
        <v>118</v>
      </c>
      <c r="C24" t="s">
        <v>119</v>
      </c>
      <c r="D24" t="str">
        <f>IF(Lang="NL",C24,B24)</f>
        <v>Gevestigde gedeelde capaciteit</v>
      </c>
    </row>
    <row r="25" spans="1:4" x14ac:dyDescent="0.2">
      <c r="A25" t="s">
        <v>120</v>
      </c>
      <c r="B25" t="s">
        <v>121</v>
      </c>
      <c r="C25" t="s">
        <v>122</v>
      </c>
      <c r="D25" t="str">
        <f>IF(Lang="NL",C25,B25)</f>
        <v>Belegde functie met eigen expertise</v>
      </c>
    </row>
    <row r="27" spans="1:4" x14ac:dyDescent="0.2">
      <c r="A27" t="s">
        <v>123</v>
      </c>
      <c r="B27" t="s">
        <v>124</v>
      </c>
      <c r="C27" t="s">
        <v>125</v>
      </c>
      <c r="D27" t="str">
        <f>IF(Lang="NL",C27,B27)</f>
        <v>Niet gemonitord</v>
      </c>
    </row>
    <row r="28" spans="1:4" x14ac:dyDescent="0.2">
      <c r="A28" t="s">
        <v>126</v>
      </c>
      <c r="B28" t="s">
        <v>127</v>
      </c>
      <c r="C28" t="s">
        <v>128</v>
      </c>
      <c r="D28" t="str">
        <f>IF(Lang="NL",C28,B28)</f>
        <v>Alleen informele indrukken</v>
      </c>
    </row>
    <row r="29" spans="1:4" x14ac:dyDescent="0.2">
      <c r="A29" t="s">
        <v>129</v>
      </c>
      <c r="B29" t="s">
        <v>130</v>
      </c>
      <c r="C29" t="s">
        <v>131</v>
      </c>
      <c r="D29" t="str">
        <f>IF(Lang="NL",C29,B29)</f>
        <v>Incidentele handmatige review</v>
      </c>
    </row>
    <row r="30" spans="1:4" x14ac:dyDescent="0.2">
      <c r="A30" t="s">
        <v>132</v>
      </c>
      <c r="B30" t="s">
        <v>133</v>
      </c>
      <c r="C30" t="s">
        <v>134</v>
      </c>
      <c r="D30" t="str">
        <f>IF(Lang="NL",C30,B30)</f>
        <v>Regelmatige gestructureerde review</v>
      </c>
    </row>
    <row r="31" spans="1:4" x14ac:dyDescent="0.2">
      <c r="A31" t="s">
        <v>135</v>
      </c>
      <c r="B31" t="s">
        <v>136</v>
      </c>
      <c r="C31" t="s">
        <v>137</v>
      </c>
      <c r="D31" t="str">
        <f>IF(Lang="NL",C31,B31)</f>
        <v>Afgezet tegen het bredere veld</v>
      </c>
    </row>
    <row r="33" spans="1:4" x14ac:dyDescent="0.2">
      <c r="A33" t="s">
        <v>138</v>
      </c>
      <c r="B33" t="s">
        <v>139</v>
      </c>
      <c r="C33" t="s">
        <v>140</v>
      </c>
      <c r="D33" t="str">
        <f>IF(Lang="NL",C33,B33)</f>
        <v>Niet overwogen</v>
      </c>
    </row>
    <row r="34" spans="1:4" x14ac:dyDescent="0.2">
      <c r="A34" t="s">
        <v>141</v>
      </c>
      <c r="B34" t="s">
        <v>142</v>
      </c>
      <c r="C34" t="s">
        <v>143</v>
      </c>
      <c r="D34" t="str">
        <f>IF(Lang="NL",C34,B34)</f>
        <v>Black box</v>
      </c>
    </row>
    <row r="35" spans="1:4" x14ac:dyDescent="0.2">
      <c r="A35" t="s">
        <v>144</v>
      </c>
      <c r="B35" t="s">
        <v>145</v>
      </c>
      <c r="C35" t="s">
        <v>146</v>
      </c>
      <c r="D35" t="str">
        <f>IF(Lang="NL",C35,B35)</f>
        <v>Enig begrip, ongedocumenteerd</v>
      </c>
    </row>
    <row r="36" spans="1:4" x14ac:dyDescent="0.2">
      <c r="A36" t="s">
        <v>147</v>
      </c>
      <c r="B36" t="s">
        <v>148</v>
      </c>
      <c r="C36" t="s">
        <v>149</v>
      </c>
      <c r="D36" t="str">
        <f>IF(Lang="NL",C36,B36)</f>
        <v>Begrepen &amp; gedocumenteerd</v>
      </c>
    </row>
    <row r="37" spans="1:4" x14ac:dyDescent="0.2">
      <c r="A37" t="s">
        <v>150</v>
      </c>
      <c r="B37" t="s">
        <v>151</v>
      </c>
      <c r="C37" t="s">
        <v>152</v>
      </c>
      <c r="D37" t="str">
        <f>IF(Lang="NL",C37,B37)</f>
        <v>Gedocumenteerd &amp; gemonitord</v>
      </c>
    </row>
    <row r="39" spans="1:4" x14ac:dyDescent="0.2">
      <c r="A39" t="s">
        <v>153</v>
      </c>
      <c r="B39" t="s">
        <v>154</v>
      </c>
      <c r="C39" t="s">
        <v>155</v>
      </c>
      <c r="D39" t="str">
        <f>IF(Lang="NL",C39,B39)</f>
        <v>Telkens verloren</v>
      </c>
    </row>
    <row r="40" spans="1:4" x14ac:dyDescent="0.2">
      <c r="A40" t="s">
        <v>156</v>
      </c>
      <c r="B40" t="s">
        <v>157</v>
      </c>
      <c r="C40" t="s">
        <v>158</v>
      </c>
      <c r="D40" t="str">
        <f>IF(Lang="NL",C40,B40)</f>
        <v>Deels informeel behouden</v>
      </c>
    </row>
    <row r="41" spans="1:4" x14ac:dyDescent="0.2">
      <c r="A41" t="s">
        <v>159</v>
      </c>
      <c r="B41" t="s">
        <v>160</v>
      </c>
      <c r="C41" t="s">
        <v>161</v>
      </c>
      <c r="D41" t="str">
        <f>IF(Lang="NL",C41,B41)</f>
        <v>Behouden door individuen</v>
      </c>
    </row>
    <row r="42" spans="1:4" x14ac:dyDescent="0.2">
      <c r="A42" t="s">
        <v>162</v>
      </c>
      <c r="B42" t="s">
        <v>163</v>
      </c>
      <c r="C42" t="s">
        <v>164</v>
      </c>
      <c r="D42" t="str">
        <f>IF(Lang="NL",C42,B42)</f>
        <v>Gedocumenteerd &amp; overgedragen</v>
      </c>
    </row>
    <row r="43" spans="1:4" x14ac:dyDescent="0.2">
      <c r="A43" t="s">
        <v>165</v>
      </c>
      <c r="B43" t="s">
        <v>166</v>
      </c>
      <c r="C43" t="s">
        <v>167</v>
      </c>
      <c r="D43" t="str">
        <f>IF(Lang="NL",C43,B43)</f>
        <v>Geversioneerd &amp; actief behouden</v>
      </c>
    </row>
    <row r="45" spans="1:4" x14ac:dyDescent="0.2">
      <c r="A45" t="s">
        <v>168</v>
      </c>
      <c r="B45" t="s">
        <v>169</v>
      </c>
      <c r="C45" t="s">
        <v>170</v>
      </c>
      <c r="D45" t="str">
        <f>IF(Lang="NL",C45,B45)</f>
        <v>Geen</v>
      </c>
    </row>
    <row r="46" spans="1:4" x14ac:dyDescent="0.2">
      <c r="A46" t="s">
        <v>171</v>
      </c>
      <c r="B46" t="s">
        <v>172</v>
      </c>
      <c r="C46" t="s">
        <v>173</v>
      </c>
      <c r="D46" t="str">
        <f>IF(Lang="NL",C46,B46)</f>
        <v>Informeel besef</v>
      </c>
    </row>
    <row r="47" spans="1:4" x14ac:dyDescent="0.2">
      <c r="A47" t="s">
        <v>174</v>
      </c>
      <c r="B47" t="s">
        <v>175</v>
      </c>
      <c r="C47" t="s">
        <v>176</v>
      </c>
      <c r="D47" t="str">
        <f>IF(Lang="NL",C47,B47)</f>
        <v>Gedocumenteerd voor sommige</v>
      </c>
    </row>
    <row r="48" spans="1:4" x14ac:dyDescent="0.2">
      <c r="A48" t="s">
        <v>177</v>
      </c>
      <c r="B48" t="s">
        <v>178</v>
      </c>
      <c r="C48" t="s">
        <v>179</v>
      </c>
      <c r="D48" t="str">
        <f>IF(Lang="NL",C48,B48)</f>
        <v>Gedocumenteerd &amp; belegd</v>
      </c>
    </row>
    <row r="49" spans="1:4" x14ac:dyDescent="0.2">
      <c r="A49" t="s">
        <v>180</v>
      </c>
      <c r="B49" t="s">
        <v>181</v>
      </c>
      <c r="C49" t="s">
        <v>182</v>
      </c>
      <c r="D49" t="str">
        <f>IF(Lang="NL",C49,B49)</f>
        <v>Gedocumenteerd, belegd &amp; beoefend</v>
      </c>
    </row>
    <row r="51" spans="1:4" x14ac:dyDescent="0.2">
      <c r="A51" t="s">
        <v>183</v>
      </c>
      <c r="B51" t="s">
        <v>184</v>
      </c>
      <c r="C51" t="s">
        <v>185</v>
      </c>
      <c r="D51" t="str">
        <f>IF(Lang="NL",C51,B51)</f>
        <v>Niemand</v>
      </c>
    </row>
    <row r="52" spans="1:4" x14ac:dyDescent="0.2">
      <c r="A52" t="s">
        <v>186</v>
      </c>
      <c r="B52" t="s">
        <v>187</v>
      </c>
      <c r="C52" t="s">
        <v>188</v>
      </c>
      <c r="D52" t="str">
        <f>IF(Lang="NL",C52,B52)</f>
        <v>Individueel initiatief</v>
      </c>
    </row>
    <row r="53" spans="1:4" x14ac:dyDescent="0.2">
      <c r="A53" t="s">
        <v>189</v>
      </c>
      <c r="B53" t="s">
        <v>190</v>
      </c>
      <c r="C53" t="s">
        <v>191</v>
      </c>
      <c r="D53" t="str">
        <f>IF(Lang="NL",C53,B53)</f>
        <v>Technologiefunctie</v>
      </c>
    </row>
    <row r="54" spans="1:4" x14ac:dyDescent="0.2">
      <c r="A54" t="s">
        <v>192</v>
      </c>
      <c r="B54" t="s">
        <v>193</v>
      </c>
      <c r="C54" t="s">
        <v>194</v>
      </c>
      <c r="D54" t="str">
        <f>IF(Lang="NL",C54,B54)</f>
        <v>Redactie &amp; technologie samen</v>
      </c>
    </row>
    <row r="55" spans="1:4" x14ac:dyDescent="0.2">
      <c r="A55" t="s">
        <v>195</v>
      </c>
      <c r="B55" t="s">
        <v>196</v>
      </c>
      <c r="C55" t="s">
        <v>197</v>
      </c>
      <c r="D55" t="str">
        <f>IF(Lang="NL",C55,B55)</f>
        <v>Directie, met benoemde eigenaar</v>
      </c>
    </row>
    <row r="57" spans="1:4" x14ac:dyDescent="0.2">
      <c r="A57" t="s">
        <v>198</v>
      </c>
      <c r="B57" t="s">
        <v>199</v>
      </c>
      <c r="C57" t="s">
        <v>200</v>
      </c>
      <c r="D57" t="str">
        <f>IF(Lang="NL",C57,B57)</f>
        <v>Nooit</v>
      </c>
    </row>
    <row r="58" spans="1:4" x14ac:dyDescent="0.2">
      <c r="A58" t="s">
        <v>201</v>
      </c>
      <c r="B58" t="s">
        <v>202</v>
      </c>
      <c r="C58" t="s">
        <v>203</v>
      </c>
      <c r="D58" t="str">
        <f>IF(Lang="NL",C58,B58)</f>
        <v>Alleen na incidenten</v>
      </c>
    </row>
    <row r="59" spans="1:4" x14ac:dyDescent="0.2">
      <c r="A59" t="s">
        <v>204</v>
      </c>
      <c r="B59" t="s">
        <v>205</v>
      </c>
      <c r="C59" t="s">
        <v>206</v>
      </c>
      <c r="D59" t="str">
        <f>IF(Lang="NL",C59,B59)</f>
        <v>Af en toe</v>
      </c>
    </row>
    <row r="60" spans="1:4" x14ac:dyDescent="0.2">
      <c r="A60" t="s">
        <v>207</v>
      </c>
      <c r="B60" t="s">
        <v>208</v>
      </c>
      <c r="C60" t="s">
        <v>209</v>
      </c>
      <c r="D60" t="str">
        <f>IF(Lang="NL",C60,B60)</f>
        <v>Op een vast schema</v>
      </c>
    </row>
    <row r="61" spans="1:4" x14ac:dyDescent="0.2">
      <c r="A61" t="s">
        <v>210</v>
      </c>
      <c r="B61" t="s">
        <v>211</v>
      </c>
      <c r="C61" t="s">
        <v>212</v>
      </c>
      <c r="D61" t="str">
        <f>IF(Lang="NL",C61,B61)</f>
        <v>Regelmatig, geïntegreerd met financieel &amp; cyberrisico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6"/>
  <sheetViews>
    <sheetView workbookViewId="0"/>
  </sheetViews>
  <sheetFormatPr defaultRowHeight="15" x14ac:dyDescent="0.2"/>
  <sheetData>
    <row r="1" spans="1:22" x14ac:dyDescent="0.2">
      <c r="A1" t="s">
        <v>213</v>
      </c>
      <c r="B1" t="s">
        <v>214</v>
      </c>
      <c r="C1" t="s">
        <v>215</v>
      </c>
      <c r="D1" t="s">
        <v>216</v>
      </c>
    </row>
    <row r="2" spans="1:22" x14ac:dyDescent="0.2">
      <c r="A2" t="s">
        <v>16</v>
      </c>
      <c r="B2">
        <v>1</v>
      </c>
      <c r="C2" t="s">
        <v>217</v>
      </c>
      <c r="D2">
        <v>1.25</v>
      </c>
      <c r="E2" t="str">
        <f>IF(Assessment!$D$10="","",IFERROR(MATCH(Assessment!$D$10,B_en,0)-1,IFERROR(MATCH(Assessment!$D$10,B_nl,0)-1,"")))</f>
        <v/>
      </c>
      <c r="F2">
        <f>IF(E2="",0,$D2*E2)</f>
        <v>0</v>
      </c>
      <c r="G2">
        <f>IF(E2="",0,$D2*4)</f>
        <v>0</v>
      </c>
      <c r="H2" t="str">
        <f>IF(Assessment!$E$10="","",IFERROR(MATCH(Assessment!$E$10,B_en,0)-1,IFERROR(MATCH(Assessment!$E$10,B_nl,0)-1,"")))</f>
        <v/>
      </c>
      <c r="I2">
        <f>IF(H2="",0,$D2*H2)</f>
        <v>0</v>
      </c>
      <c r="J2">
        <f>IF(H2="",0,$D2*4)</f>
        <v>0</v>
      </c>
      <c r="K2" t="str">
        <f>IF(Assessment!$F$10="","",IFERROR(MATCH(Assessment!$F$10,B_en,0)-1,IFERROR(MATCH(Assessment!$F$10,B_nl,0)-1,"")))</f>
        <v/>
      </c>
      <c r="L2">
        <f>IF(K2="",0,$D2*K2)</f>
        <v>0</v>
      </c>
      <c r="M2">
        <f>IF(K2="",0,$D2*4)</f>
        <v>0</v>
      </c>
      <c r="N2" t="str">
        <f>IF(Assessment!$G$10="","",IFERROR(MATCH(Assessment!$G$10,B_en,0)-1,IFERROR(MATCH(Assessment!$G$10,B_nl,0)-1,"")))</f>
        <v/>
      </c>
      <c r="O2">
        <f>IF(N2="",0,$D2*N2)</f>
        <v>0</v>
      </c>
      <c r="P2">
        <f>IF(N2="",0,$D2*4)</f>
        <v>0</v>
      </c>
      <c r="Q2" t="str">
        <f>IF(Assessment!$H$10="","",IFERROR(MATCH(Assessment!$H$10,B_en,0)-1,IFERROR(MATCH(Assessment!$H$10,B_nl,0)-1,"")))</f>
        <v/>
      </c>
      <c r="R2">
        <f>IF(Q2="",0,$D2*Q2)</f>
        <v>0</v>
      </c>
      <c r="S2">
        <f>IF(Q2="",0,$D2*4)</f>
        <v>0</v>
      </c>
      <c r="T2" t="str">
        <f>IF(Assessment!$I$10="","",IFERROR(MATCH(Assessment!$I$10,B_en,0)-1,IFERROR(MATCH(Assessment!$I$10,B_nl,0)-1,"")))</f>
        <v/>
      </c>
      <c r="U2">
        <f>IF(T2="",0,$D2*T2)</f>
        <v>0</v>
      </c>
      <c r="V2">
        <f>IF(T2="",0,$D2*4)</f>
        <v>0</v>
      </c>
    </row>
    <row r="3" spans="1:22" x14ac:dyDescent="0.2">
      <c r="A3" t="s">
        <v>17</v>
      </c>
      <c r="B3">
        <v>1</v>
      </c>
      <c r="C3" t="s">
        <v>218</v>
      </c>
      <c r="D3">
        <v>1.25</v>
      </c>
      <c r="E3" t="str">
        <f>IF(Assessment!$D$11="","",IFERROR(MATCH(Assessment!$D$11,C_1_2_en,0)-1,IFERROR(MATCH(Assessment!$D$11,C_1_2_nl,0)-1,"")))</f>
        <v/>
      </c>
      <c r="F3">
        <f>IF(E3="",0,$D3*E3)</f>
        <v>0</v>
      </c>
      <c r="G3">
        <f>IF(E3="",0,$D3*4)</f>
        <v>0</v>
      </c>
      <c r="H3" t="str">
        <f>IF(Assessment!$E$11="","",IFERROR(MATCH(Assessment!$E$11,C_1_2_en,0)-1,IFERROR(MATCH(Assessment!$E$11,C_1_2_nl,0)-1,"")))</f>
        <v/>
      </c>
      <c r="I3">
        <f>IF(H3="",0,$D3*H3)</f>
        <v>0</v>
      </c>
      <c r="J3">
        <f>IF(H3="",0,$D3*4)</f>
        <v>0</v>
      </c>
      <c r="K3" t="str">
        <f>IF(Assessment!$F$11="","",IFERROR(MATCH(Assessment!$F$11,C_1_2_en,0)-1,IFERROR(MATCH(Assessment!$F$11,C_1_2_nl,0)-1,"")))</f>
        <v/>
      </c>
      <c r="L3">
        <f>IF(K3="",0,$D3*K3)</f>
        <v>0</v>
      </c>
      <c r="M3">
        <f>IF(K3="",0,$D3*4)</f>
        <v>0</v>
      </c>
      <c r="N3" t="str">
        <f>IF(Assessment!$G$11="","",IFERROR(MATCH(Assessment!$G$11,C_1_2_en,0)-1,IFERROR(MATCH(Assessment!$G$11,C_1_2_nl,0)-1,"")))</f>
        <v/>
      </c>
      <c r="O3">
        <f>IF(N3="",0,$D3*N3)</f>
        <v>0</v>
      </c>
      <c r="P3">
        <f>IF(N3="",0,$D3*4)</f>
        <v>0</v>
      </c>
      <c r="Q3" t="str">
        <f>IF(Assessment!$H$11="","",IFERROR(MATCH(Assessment!$H$11,C_1_2_en,0)-1,IFERROR(MATCH(Assessment!$H$11,C_1_2_nl,0)-1,"")))</f>
        <v/>
      </c>
      <c r="R3">
        <f>IF(Q3="",0,$D3*Q3)</f>
        <v>0</v>
      </c>
      <c r="S3">
        <f>IF(Q3="",0,$D3*4)</f>
        <v>0</v>
      </c>
      <c r="T3" t="str">
        <f>IF(Assessment!$I$11="","",IFERROR(MATCH(Assessment!$I$11,C_1_2_en,0)-1,IFERROR(MATCH(Assessment!$I$11,C_1_2_nl,0)-1,"")))</f>
        <v/>
      </c>
      <c r="U3">
        <f>IF(T3="",0,$D3*T3)</f>
        <v>0</v>
      </c>
      <c r="V3">
        <f>IF(T3="",0,$D3*4)</f>
        <v>0</v>
      </c>
    </row>
    <row r="4" spans="1:22" x14ac:dyDescent="0.2">
      <c r="A4" t="s">
        <v>18</v>
      </c>
      <c r="B4">
        <v>1</v>
      </c>
      <c r="C4" t="s">
        <v>217</v>
      </c>
      <c r="D4">
        <v>1.25</v>
      </c>
      <c r="E4" t="str">
        <f>IF(Assessment!$D$12="","",IFERROR(MATCH(Assessment!$D$12,B_en,0)-1,IFERROR(MATCH(Assessment!$D$12,B_nl,0)-1,"")))</f>
        <v/>
      </c>
      <c r="F4">
        <f>IF(E4="",0,$D4*E4)</f>
        <v>0</v>
      </c>
      <c r="G4">
        <f>IF(E4="",0,$D4*4)</f>
        <v>0</v>
      </c>
      <c r="H4" t="str">
        <f>IF(Assessment!$E$12="","",IFERROR(MATCH(Assessment!$E$12,B_en,0)-1,IFERROR(MATCH(Assessment!$E$12,B_nl,0)-1,"")))</f>
        <v/>
      </c>
      <c r="I4">
        <f>IF(H4="",0,$D4*H4)</f>
        <v>0</v>
      </c>
      <c r="J4">
        <f>IF(H4="",0,$D4*4)</f>
        <v>0</v>
      </c>
      <c r="K4" t="str">
        <f>IF(Assessment!$F$12="","",IFERROR(MATCH(Assessment!$F$12,B_en,0)-1,IFERROR(MATCH(Assessment!$F$12,B_nl,0)-1,"")))</f>
        <v/>
      </c>
      <c r="L4">
        <f>IF(K4="",0,$D4*K4)</f>
        <v>0</v>
      </c>
      <c r="M4">
        <f>IF(K4="",0,$D4*4)</f>
        <v>0</v>
      </c>
      <c r="N4" t="str">
        <f>IF(Assessment!$G$12="","",IFERROR(MATCH(Assessment!$G$12,B_en,0)-1,IFERROR(MATCH(Assessment!$G$12,B_nl,0)-1,"")))</f>
        <v/>
      </c>
      <c r="O4">
        <f>IF(N4="",0,$D4*N4)</f>
        <v>0</v>
      </c>
      <c r="P4">
        <f>IF(N4="",0,$D4*4)</f>
        <v>0</v>
      </c>
      <c r="Q4" t="str">
        <f>IF(Assessment!$H$12="","",IFERROR(MATCH(Assessment!$H$12,B_en,0)-1,IFERROR(MATCH(Assessment!$H$12,B_nl,0)-1,"")))</f>
        <v/>
      </c>
      <c r="R4">
        <f>IF(Q4="",0,$D4*Q4)</f>
        <v>0</v>
      </c>
      <c r="S4">
        <f>IF(Q4="",0,$D4*4)</f>
        <v>0</v>
      </c>
      <c r="T4" t="str">
        <f>IF(Assessment!$I$12="","",IFERROR(MATCH(Assessment!$I$12,B_en,0)-1,IFERROR(MATCH(Assessment!$I$12,B_nl,0)-1,"")))</f>
        <v/>
      </c>
      <c r="U4">
        <f>IF(T4="",0,$D4*T4)</f>
        <v>0</v>
      </c>
      <c r="V4">
        <f>IF(T4="",0,$D4*4)</f>
        <v>0</v>
      </c>
    </row>
    <row r="5" spans="1:22" x14ac:dyDescent="0.2">
      <c r="A5" t="s">
        <v>19</v>
      </c>
      <c r="B5">
        <v>1</v>
      </c>
      <c r="C5" t="s">
        <v>217</v>
      </c>
      <c r="D5">
        <v>1.25</v>
      </c>
      <c r="E5" t="str">
        <f>IF(Assessment!$D$13="","",IFERROR(MATCH(Assessment!$D$13,B_en,0)-1,IFERROR(MATCH(Assessment!$D$13,B_nl,0)-1,"")))</f>
        <v/>
      </c>
      <c r="F5">
        <f>IF(E5="",0,$D5*E5)</f>
        <v>0</v>
      </c>
      <c r="G5">
        <f>IF(E5="",0,$D5*4)</f>
        <v>0</v>
      </c>
      <c r="H5" t="str">
        <f>IF(Assessment!$E$13="","",IFERROR(MATCH(Assessment!$E$13,B_en,0)-1,IFERROR(MATCH(Assessment!$E$13,B_nl,0)-1,"")))</f>
        <v/>
      </c>
      <c r="I5">
        <f>IF(H5="",0,$D5*H5)</f>
        <v>0</v>
      </c>
      <c r="J5">
        <f>IF(H5="",0,$D5*4)</f>
        <v>0</v>
      </c>
      <c r="K5" t="str">
        <f>IF(Assessment!$F$13="","",IFERROR(MATCH(Assessment!$F$13,B_en,0)-1,IFERROR(MATCH(Assessment!$F$13,B_nl,0)-1,"")))</f>
        <v/>
      </c>
      <c r="L5">
        <f>IF(K5="",0,$D5*K5)</f>
        <v>0</v>
      </c>
      <c r="M5">
        <f>IF(K5="",0,$D5*4)</f>
        <v>0</v>
      </c>
      <c r="N5" t="str">
        <f>IF(Assessment!$G$13="","",IFERROR(MATCH(Assessment!$G$13,B_en,0)-1,IFERROR(MATCH(Assessment!$G$13,B_nl,0)-1,"")))</f>
        <v/>
      </c>
      <c r="O5">
        <f>IF(N5="",0,$D5*N5)</f>
        <v>0</v>
      </c>
      <c r="P5">
        <f>IF(N5="",0,$D5*4)</f>
        <v>0</v>
      </c>
      <c r="Q5" t="str">
        <f>IF(Assessment!$H$13="","",IFERROR(MATCH(Assessment!$H$13,B_en,0)-1,IFERROR(MATCH(Assessment!$H$13,B_nl,0)-1,"")))</f>
        <v/>
      </c>
      <c r="R5">
        <f>IF(Q5="",0,$D5*Q5)</f>
        <v>0</v>
      </c>
      <c r="S5">
        <f>IF(Q5="",0,$D5*4)</f>
        <v>0</v>
      </c>
      <c r="T5" t="str">
        <f>IF(Assessment!$I$13="","",IFERROR(MATCH(Assessment!$I$13,B_en,0)-1,IFERROR(MATCH(Assessment!$I$13,B_nl,0)-1,"")))</f>
        <v/>
      </c>
      <c r="U5">
        <f>IF(T5="",0,$D5*T5)</f>
        <v>0</v>
      </c>
      <c r="V5">
        <f>IF(T5="",0,$D5*4)</f>
        <v>0</v>
      </c>
    </row>
    <row r="6" spans="1:22" x14ac:dyDescent="0.2">
      <c r="A6" t="s">
        <v>20</v>
      </c>
      <c r="B6">
        <v>1</v>
      </c>
      <c r="C6" t="s">
        <v>219</v>
      </c>
      <c r="D6">
        <v>1</v>
      </c>
      <c r="E6" t="str">
        <f>IF(Assessment!$D$14="","",IFERROR(MATCH(Assessment!$D$14,A_en,0)-1,IFERROR(MATCH(Assessment!$D$14,A_nl,0)-1,"")))</f>
        <v/>
      </c>
      <c r="F6">
        <f>IF(E6="",0,$D6*E6)</f>
        <v>0</v>
      </c>
      <c r="G6">
        <f>IF(E6="",0,$D6*4)</f>
        <v>0</v>
      </c>
      <c r="H6" t="str">
        <f>IF(Assessment!$E$14="","",IFERROR(MATCH(Assessment!$E$14,A_en,0)-1,IFERROR(MATCH(Assessment!$E$14,A_nl,0)-1,"")))</f>
        <v/>
      </c>
      <c r="I6">
        <f>IF(H6="",0,$D6*H6)</f>
        <v>0</v>
      </c>
      <c r="J6">
        <f>IF(H6="",0,$D6*4)</f>
        <v>0</v>
      </c>
      <c r="K6" t="str">
        <f>IF(Assessment!$F$14="","",IFERROR(MATCH(Assessment!$F$14,A_en,0)-1,IFERROR(MATCH(Assessment!$F$14,A_nl,0)-1,"")))</f>
        <v/>
      </c>
      <c r="L6">
        <f>IF(K6="",0,$D6*K6)</f>
        <v>0</v>
      </c>
      <c r="M6">
        <f>IF(K6="",0,$D6*4)</f>
        <v>0</v>
      </c>
      <c r="N6" t="str">
        <f>IF(Assessment!$G$14="","",IFERROR(MATCH(Assessment!$G$14,A_en,0)-1,IFERROR(MATCH(Assessment!$G$14,A_nl,0)-1,"")))</f>
        <v/>
      </c>
      <c r="O6">
        <f>IF(N6="",0,$D6*N6)</f>
        <v>0</v>
      </c>
      <c r="P6">
        <f>IF(N6="",0,$D6*4)</f>
        <v>0</v>
      </c>
      <c r="Q6" t="str">
        <f>IF(Assessment!$H$14="","",IFERROR(MATCH(Assessment!$H$14,A_en,0)-1,IFERROR(MATCH(Assessment!$H$14,A_nl,0)-1,"")))</f>
        <v/>
      </c>
      <c r="R6">
        <f>IF(Q6="",0,$D6*Q6)</f>
        <v>0</v>
      </c>
      <c r="S6">
        <f>IF(Q6="",0,$D6*4)</f>
        <v>0</v>
      </c>
      <c r="T6" t="str">
        <f>IF(Assessment!$I$14="","",IFERROR(MATCH(Assessment!$I$14,A_en,0)-1,IFERROR(MATCH(Assessment!$I$14,A_nl,0)-1,"")))</f>
        <v/>
      </c>
      <c r="U6">
        <f>IF(T6="",0,$D6*T6)</f>
        <v>0</v>
      </c>
      <c r="V6">
        <f>IF(T6="",0,$D6*4)</f>
        <v>0</v>
      </c>
    </row>
    <row r="7" spans="1:22" x14ac:dyDescent="0.2">
      <c r="A7" t="s">
        <v>21</v>
      </c>
      <c r="B7">
        <v>2</v>
      </c>
      <c r="C7" t="s">
        <v>217</v>
      </c>
      <c r="D7">
        <v>1.25</v>
      </c>
      <c r="E7" t="str">
        <f>IF(Assessment!$D$16="","",IFERROR(MATCH(Assessment!$D$16,B_en,0)-1,IFERROR(MATCH(Assessment!$D$16,B_nl,0)-1,"")))</f>
        <v/>
      </c>
      <c r="F7">
        <f>IF(E7="",0,$D7*E7)</f>
        <v>0</v>
      </c>
      <c r="G7">
        <f>IF(E7="",0,$D7*4)</f>
        <v>0</v>
      </c>
      <c r="H7" t="str">
        <f>IF(Assessment!$E$16="","",IFERROR(MATCH(Assessment!$E$16,B_en,0)-1,IFERROR(MATCH(Assessment!$E$16,B_nl,0)-1,"")))</f>
        <v/>
      </c>
      <c r="I7">
        <f>IF(H7="",0,$D7*H7)</f>
        <v>0</v>
      </c>
      <c r="J7">
        <f>IF(H7="",0,$D7*4)</f>
        <v>0</v>
      </c>
      <c r="K7" t="str">
        <f>IF(Assessment!$F$16="","",IFERROR(MATCH(Assessment!$F$16,B_en,0)-1,IFERROR(MATCH(Assessment!$F$16,B_nl,0)-1,"")))</f>
        <v/>
      </c>
      <c r="L7">
        <f>IF(K7="",0,$D7*K7)</f>
        <v>0</v>
      </c>
      <c r="M7">
        <f>IF(K7="",0,$D7*4)</f>
        <v>0</v>
      </c>
      <c r="N7" t="str">
        <f>IF(Assessment!$G$16="","",IFERROR(MATCH(Assessment!$G$16,B_en,0)-1,IFERROR(MATCH(Assessment!$G$16,B_nl,0)-1,"")))</f>
        <v/>
      </c>
      <c r="O7">
        <f>IF(N7="",0,$D7*N7)</f>
        <v>0</v>
      </c>
      <c r="P7">
        <f>IF(N7="",0,$D7*4)</f>
        <v>0</v>
      </c>
      <c r="Q7" t="str">
        <f>IF(Assessment!$H$16="","",IFERROR(MATCH(Assessment!$H$16,B_en,0)-1,IFERROR(MATCH(Assessment!$H$16,B_nl,0)-1,"")))</f>
        <v/>
      </c>
      <c r="R7">
        <f>IF(Q7="",0,$D7*Q7)</f>
        <v>0</v>
      </c>
      <c r="S7">
        <f>IF(Q7="",0,$D7*4)</f>
        <v>0</v>
      </c>
      <c r="T7" t="str">
        <f>IF(Assessment!$I$16="","",IFERROR(MATCH(Assessment!$I$16,B_en,0)-1,IFERROR(MATCH(Assessment!$I$16,B_nl,0)-1,"")))</f>
        <v/>
      </c>
      <c r="U7">
        <f>IF(T7="",0,$D7*T7)</f>
        <v>0</v>
      </c>
      <c r="V7">
        <f>IF(T7="",0,$D7*4)</f>
        <v>0</v>
      </c>
    </row>
    <row r="8" spans="1:22" x14ac:dyDescent="0.2">
      <c r="A8" t="s">
        <v>22</v>
      </c>
      <c r="B8">
        <v>2</v>
      </c>
      <c r="C8" t="s">
        <v>217</v>
      </c>
      <c r="D8">
        <v>1.25</v>
      </c>
      <c r="E8" t="str">
        <f>IF(Assessment!$D$17="","",IFERROR(MATCH(Assessment!$D$17,B_en,0)-1,IFERROR(MATCH(Assessment!$D$17,B_nl,0)-1,"")))</f>
        <v/>
      </c>
      <c r="F8">
        <f>IF(E8="",0,$D8*E8)</f>
        <v>0</v>
      </c>
      <c r="G8">
        <f>IF(E8="",0,$D8*4)</f>
        <v>0</v>
      </c>
      <c r="H8" t="str">
        <f>IF(Assessment!$E$17="","",IFERROR(MATCH(Assessment!$E$17,B_en,0)-1,IFERROR(MATCH(Assessment!$E$17,B_nl,0)-1,"")))</f>
        <v/>
      </c>
      <c r="I8">
        <f>IF(H8="",0,$D8*H8)</f>
        <v>0</v>
      </c>
      <c r="J8">
        <f>IF(H8="",0,$D8*4)</f>
        <v>0</v>
      </c>
      <c r="K8" t="str">
        <f>IF(Assessment!$F$17="","",IFERROR(MATCH(Assessment!$F$17,B_en,0)-1,IFERROR(MATCH(Assessment!$F$17,B_nl,0)-1,"")))</f>
        <v/>
      </c>
      <c r="L8">
        <f>IF(K8="",0,$D8*K8)</f>
        <v>0</v>
      </c>
      <c r="M8">
        <f>IF(K8="",0,$D8*4)</f>
        <v>0</v>
      </c>
      <c r="N8" t="str">
        <f>IF(Assessment!$G$17="","",IFERROR(MATCH(Assessment!$G$17,B_en,0)-1,IFERROR(MATCH(Assessment!$G$17,B_nl,0)-1,"")))</f>
        <v/>
      </c>
      <c r="O8">
        <f>IF(N8="",0,$D8*N8)</f>
        <v>0</v>
      </c>
      <c r="P8">
        <f>IF(N8="",0,$D8*4)</f>
        <v>0</v>
      </c>
      <c r="Q8" t="str">
        <f>IF(Assessment!$H$17="","",IFERROR(MATCH(Assessment!$H$17,B_en,0)-1,IFERROR(MATCH(Assessment!$H$17,B_nl,0)-1,"")))</f>
        <v/>
      </c>
      <c r="R8">
        <f>IF(Q8="",0,$D8*Q8)</f>
        <v>0</v>
      </c>
      <c r="S8">
        <f>IF(Q8="",0,$D8*4)</f>
        <v>0</v>
      </c>
      <c r="T8" t="str">
        <f>IF(Assessment!$I$17="","",IFERROR(MATCH(Assessment!$I$17,B_en,0)-1,IFERROR(MATCH(Assessment!$I$17,B_nl,0)-1,"")))</f>
        <v/>
      </c>
      <c r="U8">
        <f>IF(T8="",0,$D8*T8)</f>
        <v>0</v>
      </c>
      <c r="V8">
        <f>IF(T8="",0,$D8*4)</f>
        <v>0</v>
      </c>
    </row>
    <row r="9" spans="1:22" x14ac:dyDescent="0.2">
      <c r="A9" t="s">
        <v>23</v>
      </c>
      <c r="B9">
        <v>2</v>
      </c>
      <c r="C9" t="s">
        <v>217</v>
      </c>
      <c r="D9">
        <v>1.25</v>
      </c>
      <c r="E9" t="str">
        <f>IF(Assessment!$D$18="","",IFERROR(MATCH(Assessment!$D$18,B_en,0)-1,IFERROR(MATCH(Assessment!$D$18,B_nl,0)-1,"")))</f>
        <v/>
      </c>
      <c r="F9">
        <f>IF(E9="",0,$D9*E9)</f>
        <v>0</v>
      </c>
      <c r="G9">
        <f>IF(E9="",0,$D9*4)</f>
        <v>0</v>
      </c>
      <c r="H9" t="str">
        <f>IF(Assessment!$E$18="","",IFERROR(MATCH(Assessment!$E$18,B_en,0)-1,IFERROR(MATCH(Assessment!$E$18,B_nl,0)-1,"")))</f>
        <v/>
      </c>
      <c r="I9">
        <f>IF(H9="",0,$D9*H9)</f>
        <v>0</v>
      </c>
      <c r="J9">
        <f>IF(H9="",0,$D9*4)</f>
        <v>0</v>
      </c>
      <c r="K9" t="str">
        <f>IF(Assessment!$F$18="","",IFERROR(MATCH(Assessment!$F$18,B_en,0)-1,IFERROR(MATCH(Assessment!$F$18,B_nl,0)-1,"")))</f>
        <v/>
      </c>
      <c r="L9">
        <f>IF(K9="",0,$D9*K9)</f>
        <v>0</v>
      </c>
      <c r="M9">
        <f>IF(K9="",0,$D9*4)</f>
        <v>0</v>
      </c>
      <c r="N9" t="str">
        <f>IF(Assessment!$G$18="","",IFERROR(MATCH(Assessment!$G$18,B_en,0)-1,IFERROR(MATCH(Assessment!$G$18,B_nl,0)-1,"")))</f>
        <v/>
      </c>
      <c r="O9">
        <f>IF(N9="",0,$D9*N9)</f>
        <v>0</v>
      </c>
      <c r="P9">
        <f>IF(N9="",0,$D9*4)</f>
        <v>0</v>
      </c>
      <c r="Q9" t="str">
        <f>IF(Assessment!$H$18="","",IFERROR(MATCH(Assessment!$H$18,B_en,0)-1,IFERROR(MATCH(Assessment!$H$18,B_nl,0)-1,"")))</f>
        <v/>
      </c>
      <c r="R9">
        <f>IF(Q9="",0,$D9*Q9)</f>
        <v>0</v>
      </c>
      <c r="S9">
        <f>IF(Q9="",0,$D9*4)</f>
        <v>0</v>
      </c>
      <c r="T9" t="str">
        <f>IF(Assessment!$I$18="","",IFERROR(MATCH(Assessment!$I$18,B_en,0)-1,IFERROR(MATCH(Assessment!$I$18,B_nl,0)-1,"")))</f>
        <v/>
      </c>
      <c r="U9">
        <f>IF(T9="",0,$D9*T9)</f>
        <v>0</v>
      </c>
      <c r="V9">
        <f>IF(T9="",0,$D9*4)</f>
        <v>0</v>
      </c>
    </row>
    <row r="10" spans="1:22" x14ac:dyDescent="0.2">
      <c r="A10" t="s">
        <v>24</v>
      </c>
      <c r="B10">
        <v>2</v>
      </c>
      <c r="C10" t="s">
        <v>217</v>
      </c>
      <c r="D10">
        <v>1.25</v>
      </c>
      <c r="E10" t="str">
        <f>IF(Assessment!$D$19="","",IFERROR(MATCH(Assessment!$D$19,B_en,0)-1,IFERROR(MATCH(Assessment!$D$19,B_nl,0)-1,"")))</f>
        <v/>
      </c>
      <c r="F10">
        <f>IF(E10="",0,$D10*E10)</f>
        <v>0</v>
      </c>
      <c r="G10">
        <f>IF(E10="",0,$D10*4)</f>
        <v>0</v>
      </c>
      <c r="H10" t="str">
        <f>IF(Assessment!$E$19="","",IFERROR(MATCH(Assessment!$E$19,B_en,0)-1,IFERROR(MATCH(Assessment!$E$19,B_nl,0)-1,"")))</f>
        <v/>
      </c>
      <c r="I10">
        <f>IF(H10="",0,$D10*H10)</f>
        <v>0</v>
      </c>
      <c r="J10">
        <f>IF(H10="",0,$D10*4)</f>
        <v>0</v>
      </c>
      <c r="K10" t="str">
        <f>IF(Assessment!$F$19="","",IFERROR(MATCH(Assessment!$F$19,B_en,0)-1,IFERROR(MATCH(Assessment!$F$19,B_nl,0)-1,"")))</f>
        <v/>
      </c>
      <c r="L10">
        <f>IF(K10="",0,$D10*K10)</f>
        <v>0</v>
      </c>
      <c r="M10">
        <f>IF(K10="",0,$D10*4)</f>
        <v>0</v>
      </c>
      <c r="N10" t="str">
        <f>IF(Assessment!$G$19="","",IFERROR(MATCH(Assessment!$G$19,B_en,0)-1,IFERROR(MATCH(Assessment!$G$19,B_nl,0)-1,"")))</f>
        <v/>
      </c>
      <c r="O10">
        <f>IF(N10="",0,$D10*N10)</f>
        <v>0</v>
      </c>
      <c r="P10">
        <f>IF(N10="",0,$D10*4)</f>
        <v>0</v>
      </c>
      <c r="Q10" t="str">
        <f>IF(Assessment!$H$19="","",IFERROR(MATCH(Assessment!$H$19,B_en,0)-1,IFERROR(MATCH(Assessment!$H$19,B_nl,0)-1,"")))</f>
        <v/>
      </c>
      <c r="R10">
        <f>IF(Q10="",0,$D10*Q10)</f>
        <v>0</v>
      </c>
      <c r="S10">
        <f>IF(Q10="",0,$D10*4)</f>
        <v>0</v>
      </c>
      <c r="T10" t="str">
        <f>IF(Assessment!$I$19="","",IFERROR(MATCH(Assessment!$I$19,B_en,0)-1,IFERROR(MATCH(Assessment!$I$19,B_nl,0)-1,"")))</f>
        <v/>
      </c>
      <c r="U10">
        <f>IF(T10="",0,$D10*T10)</f>
        <v>0</v>
      </c>
      <c r="V10">
        <f>IF(T10="",0,$D10*4)</f>
        <v>0</v>
      </c>
    </row>
    <row r="11" spans="1:22" x14ac:dyDescent="0.2">
      <c r="A11" t="s">
        <v>25</v>
      </c>
      <c r="B11">
        <v>2</v>
      </c>
      <c r="C11" t="s">
        <v>218</v>
      </c>
      <c r="D11">
        <v>1.25</v>
      </c>
      <c r="E11" t="str">
        <f>IF(Assessment!$D$20="","",IFERROR(MATCH(Assessment!$D$20,C_2_5_en,0)-1,IFERROR(MATCH(Assessment!$D$20,C_2_5_nl,0)-1,"")))</f>
        <v/>
      </c>
      <c r="F11">
        <f>IF(E11="",0,$D11*E11)</f>
        <v>0</v>
      </c>
      <c r="G11">
        <f>IF(E11="",0,$D11*4)</f>
        <v>0</v>
      </c>
      <c r="H11" t="str">
        <f>IF(Assessment!$E$20="","",IFERROR(MATCH(Assessment!$E$20,C_2_5_en,0)-1,IFERROR(MATCH(Assessment!$E$20,C_2_5_nl,0)-1,"")))</f>
        <v/>
      </c>
      <c r="I11">
        <f>IF(H11="",0,$D11*H11)</f>
        <v>0</v>
      </c>
      <c r="J11">
        <f>IF(H11="",0,$D11*4)</f>
        <v>0</v>
      </c>
      <c r="K11" t="str">
        <f>IF(Assessment!$F$20="","",IFERROR(MATCH(Assessment!$F$20,C_2_5_en,0)-1,IFERROR(MATCH(Assessment!$F$20,C_2_5_nl,0)-1,"")))</f>
        <v/>
      </c>
      <c r="L11">
        <f>IF(K11="",0,$D11*K11)</f>
        <v>0</v>
      </c>
      <c r="M11">
        <f>IF(K11="",0,$D11*4)</f>
        <v>0</v>
      </c>
      <c r="N11" t="str">
        <f>IF(Assessment!$G$20="","",IFERROR(MATCH(Assessment!$G$20,C_2_5_en,0)-1,IFERROR(MATCH(Assessment!$G$20,C_2_5_nl,0)-1,"")))</f>
        <v/>
      </c>
      <c r="O11">
        <f>IF(N11="",0,$D11*N11)</f>
        <v>0</v>
      </c>
      <c r="P11">
        <f>IF(N11="",0,$D11*4)</f>
        <v>0</v>
      </c>
      <c r="Q11" t="str">
        <f>IF(Assessment!$H$20="","",IFERROR(MATCH(Assessment!$H$20,C_2_5_en,0)-1,IFERROR(MATCH(Assessment!$H$20,C_2_5_nl,0)-1,"")))</f>
        <v/>
      </c>
      <c r="R11">
        <f>IF(Q11="",0,$D11*Q11)</f>
        <v>0</v>
      </c>
      <c r="S11">
        <f>IF(Q11="",0,$D11*4)</f>
        <v>0</v>
      </c>
      <c r="T11" t="str">
        <f>IF(Assessment!$I$20="","",IFERROR(MATCH(Assessment!$I$20,C_2_5_en,0)-1,IFERROR(MATCH(Assessment!$I$20,C_2_5_nl,0)-1,"")))</f>
        <v/>
      </c>
      <c r="U11">
        <f>IF(T11="",0,$D11*T11)</f>
        <v>0</v>
      </c>
      <c r="V11">
        <f>IF(T11="",0,$D11*4)</f>
        <v>0</v>
      </c>
    </row>
    <row r="12" spans="1:22" x14ac:dyDescent="0.2">
      <c r="A12" t="s">
        <v>26</v>
      </c>
      <c r="B12">
        <v>3</v>
      </c>
      <c r="C12" t="s">
        <v>217</v>
      </c>
      <c r="D12">
        <v>1.25</v>
      </c>
      <c r="E12" t="str">
        <f>IF(Assessment!$D$22="","",IFERROR(MATCH(Assessment!$D$22,B_en,0)-1,IFERROR(MATCH(Assessment!$D$22,B_nl,0)-1,"")))</f>
        <v/>
      </c>
      <c r="F12">
        <f>IF(E12="",0,$D12*E12)</f>
        <v>0</v>
      </c>
      <c r="G12">
        <f>IF(E12="",0,$D12*4)</f>
        <v>0</v>
      </c>
      <c r="H12" t="str">
        <f>IF(Assessment!$E$22="","",IFERROR(MATCH(Assessment!$E$22,B_en,0)-1,IFERROR(MATCH(Assessment!$E$22,B_nl,0)-1,"")))</f>
        <v/>
      </c>
      <c r="I12">
        <f>IF(H12="",0,$D12*H12)</f>
        <v>0</v>
      </c>
      <c r="J12">
        <f>IF(H12="",0,$D12*4)</f>
        <v>0</v>
      </c>
      <c r="K12" t="str">
        <f>IF(Assessment!$F$22="","",IFERROR(MATCH(Assessment!$F$22,B_en,0)-1,IFERROR(MATCH(Assessment!$F$22,B_nl,0)-1,"")))</f>
        <v/>
      </c>
      <c r="L12">
        <f>IF(K12="",0,$D12*K12)</f>
        <v>0</v>
      </c>
      <c r="M12">
        <f>IF(K12="",0,$D12*4)</f>
        <v>0</v>
      </c>
      <c r="N12" t="str">
        <f>IF(Assessment!$G$22="","",IFERROR(MATCH(Assessment!$G$22,B_en,0)-1,IFERROR(MATCH(Assessment!$G$22,B_nl,0)-1,"")))</f>
        <v/>
      </c>
      <c r="O12">
        <f>IF(N12="",0,$D12*N12)</f>
        <v>0</v>
      </c>
      <c r="P12">
        <f>IF(N12="",0,$D12*4)</f>
        <v>0</v>
      </c>
      <c r="Q12" t="str">
        <f>IF(Assessment!$H$22="","",IFERROR(MATCH(Assessment!$H$22,B_en,0)-1,IFERROR(MATCH(Assessment!$H$22,B_nl,0)-1,"")))</f>
        <v/>
      </c>
      <c r="R12">
        <f>IF(Q12="",0,$D12*Q12)</f>
        <v>0</v>
      </c>
      <c r="S12">
        <f>IF(Q12="",0,$D12*4)</f>
        <v>0</v>
      </c>
      <c r="T12" t="str">
        <f>IF(Assessment!$I$22="","",IFERROR(MATCH(Assessment!$I$22,B_en,0)-1,IFERROR(MATCH(Assessment!$I$22,B_nl,0)-1,"")))</f>
        <v/>
      </c>
      <c r="U12">
        <f>IF(T12="",0,$D12*T12)</f>
        <v>0</v>
      </c>
      <c r="V12">
        <f>IF(T12="",0,$D12*4)</f>
        <v>0</v>
      </c>
    </row>
    <row r="13" spans="1:22" x14ac:dyDescent="0.2">
      <c r="A13" t="s">
        <v>27</v>
      </c>
      <c r="B13">
        <v>3</v>
      </c>
      <c r="C13" t="s">
        <v>217</v>
      </c>
      <c r="D13">
        <v>1.25</v>
      </c>
      <c r="E13" t="str">
        <f>IF(Assessment!$D$23="","",IFERROR(MATCH(Assessment!$D$23,B_en,0)-1,IFERROR(MATCH(Assessment!$D$23,B_nl,0)-1,"")))</f>
        <v/>
      </c>
      <c r="F13">
        <f>IF(E13="",0,$D13*E13)</f>
        <v>0</v>
      </c>
      <c r="G13">
        <f>IF(E13="",0,$D13*4)</f>
        <v>0</v>
      </c>
      <c r="H13" t="str">
        <f>IF(Assessment!$E$23="","",IFERROR(MATCH(Assessment!$E$23,B_en,0)-1,IFERROR(MATCH(Assessment!$E$23,B_nl,0)-1,"")))</f>
        <v/>
      </c>
      <c r="I13">
        <f>IF(H13="",0,$D13*H13)</f>
        <v>0</v>
      </c>
      <c r="J13">
        <f>IF(H13="",0,$D13*4)</f>
        <v>0</v>
      </c>
      <c r="K13" t="str">
        <f>IF(Assessment!$F$23="","",IFERROR(MATCH(Assessment!$F$23,B_en,0)-1,IFERROR(MATCH(Assessment!$F$23,B_nl,0)-1,"")))</f>
        <v/>
      </c>
      <c r="L13">
        <f>IF(K13="",0,$D13*K13)</f>
        <v>0</v>
      </c>
      <c r="M13">
        <f>IF(K13="",0,$D13*4)</f>
        <v>0</v>
      </c>
      <c r="N13" t="str">
        <f>IF(Assessment!$G$23="","",IFERROR(MATCH(Assessment!$G$23,B_en,0)-1,IFERROR(MATCH(Assessment!$G$23,B_nl,0)-1,"")))</f>
        <v/>
      </c>
      <c r="O13">
        <f>IF(N13="",0,$D13*N13)</f>
        <v>0</v>
      </c>
      <c r="P13">
        <f>IF(N13="",0,$D13*4)</f>
        <v>0</v>
      </c>
      <c r="Q13" t="str">
        <f>IF(Assessment!$H$23="","",IFERROR(MATCH(Assessment!$H$23,B_en,0)-1,IFERROR(MATCH(Assessment!$H$23,B_nl,0)-1,"")))</f>
        <v/>
      </c>
      <c r="R13">
        <f>IF(Q13="",0,$D13*Q13)</f>
        <v>0</v>
      </c>
      <c r="S13">
        <f>IF(Q13="",0,$D13*4)</f>
        <v>0</v>
      </c>
      <c r="T13" t="str">
        <f>IF(Assessment!$I$23="","",IFERROR(MATCH(Assessment!$I$23,B_en,0)-1,IFERROR(MATCH(Assessment!$I$23,B_nl,0)-1,"")))</f>
        <v/>
      </c>
      <c r="U13">
        <f>IF(T13="",0,$D13*T13)</f>
        <v>0</v>
      </c>
      <c r="V13">
        <f>IF(T13="",0,$D13*4)</f>
        <v>0</v>
      </c>
    </row>
    <row r="14" spans="1:22" x14ac:dyDescent="0.2">
      <c r="A14" t="s">
        <v>28</v>
      </c>
      <c r="B14">
        <v>3</v>
      </c>
      <c r="C14" t="s">
        <v>219</v>
      </c>
      <c r="D14">
        <v>1</v>
      </c>
      <c r="E14" t="str">
        <f>IF(Assessment!$D$24="","",IFERROR(MATCH(Assessment!$D$24,A_en,0)-1,IFERROR(MATCH(Assessment!$D$24,A_nl,0)-1,"")))</f>
        <v/>
      </c>
      <c r="F14">
        <f>IF(E14="",0,$D14*E14)</f>
        <v>0</v>
      </c>
      <c r="G14">
        <f>IF(E14="",0,$D14*4)</f>
        <v>0</v>
      </c>
      <c r="H14" t="str">
        <f>IF(Assessment!$E$24="","",IFERROR(MATCH(Assessment!$E$24,A_en,0)-1,IFERROR(MATCH(Assessment!$E$24,A_nl,0)-1,"")))</f>
        <v/>
      </c>
      <c r="I14">
        <f>IF(H14="",0,$D14*H14)</f>
        <v>0</v>
      </c>
      <c r="J14">
        <f>IF(H14="",0,$D14*4)</f>
        <v>0</v>
      </c>
      <c r="K14" t="str">
        <f>IF(Assessment!$F$24="","",IFERROR(MATCH(Assessment!$F$24,A_en,0)-1,IFERROR(MATCH(Assessment!$F$24,A_nl,0)-1,"")))</f>
        <v/>
      </c>
      <c r="L14">
        <f>IF(K14="",0,$D14*K14)</f>
        <v>0</v>
      </c>
      <c r="M14">
        <f>IF(K14="",0,$D14*4)</f>
        <v>0</v>
      </c>
      <c r="N14" t="str">
        <f>IF(Assessment!$G$24="","",IFERROR(MATCH(Assessment!$G$24,A_en,0)-1,IFERROR(MATCH(Assessment!$G$24,A_nl,0)-1,"")))</f>
        <v/>
      </c>
      <c r="O14">
        <f>IF(N14="",0,$D14*N14)</f>
        <v>0</v>
      </c>
      <c r="P14">
        <f>IF(N14="",0,$D14*4)</f>
        <v>0</v>
      </c>
      <c r="Q14" t="str">
        <f>IF(Assessment!$H$24="","",IFERROR(MATCH(Assessment!$H$24,A_en,0)-1,IFERROR(MATCH(Assessment!$H$24,A_nl,0)-1,"")))</f>
        <v/>
      </c>
      <c r="R14">
        <f>IF(Q14="",0,$D14*Q14)</f>
        <v>0</v>
      </c>
      <c r="S14">
        <f>IF(Q14="",0,$D14*4)</f>
        <v>0</v>
      </c>
      <c r="T14" t="str">
        <f>IF(Assessment!$I$24="","",IFERROR(MATCH(Assessment!$I$24,A_en,0)-1,IFERROR(MATCH(Assessment!$I$24,A_nl,0)-1,"")))</f>
        <v/>
      </c>
      <c r="U14">
        <f>IF(T14="",0,$D14*T14)</f>
        <v>0</v>
      </c>
      <c r="V14">
        <f>IF(T14="",0,$D14*4)</f>
        <v>0</v>
      </c>
    </row>
    <row r="15" spans="1:22" x14ac:dyDescent="0.2">
      <c r="A15" t="s">
        <v>29</v>
      </c>
      <c r="B15">
        <v>3</v>
      </c>
      <c r="C15" t="s">
        <v>218</v>
      </c>
      <c r="D15">
        <v>1.25</v>
      </c>
      <c r="E15" t="str">
        <f>IF(Assessment!$D$25="","",IFERROR(MATCH(Assessment!$D$25,C_3_4_en,0)-1,IFERROR(MATCH(Assessment!$D$25,C_3_4_nl,0)-1,"")))</f>
        <v/>
      </c>
      <c r="F15">
        <f>IF(E15="",0,$D15*E15)</f>
        <v>0</v>
      </c>
      <c r="G15">
        <f>IF(E15="",0,$D15*4)</f>
        <v>0</v>
      </c>
      <c r="H15" t="str">
        <f>IF(Assessment!$E$25="","",IFERROR(MATCH(Assessment!$E$25,C_3_4_en,0)-1,IFERROR(MATCH(Assessment!$E$25,C_3_4_nl,0)-1,"")))</f>
        <v/>
      </c>
      <c r="I15">
        <f>IF(H15="",0,$D15*H15)</f>
        <v>0</v>
      </c>
      <c r="J15">
        <f>IF(H15="",0,$D15*4)</f>
        <v>0</v>
      </c>
      <c r="K15" t="str">
        <f>IF(Assessment!$F$25="","",IFERROR(MATCH(Assessment!$F$25,C_3_4_en,0)-1,IFERROR(MATCH(Assessment!$F$25,C_3_4_nl,0)-1,"")))</f>
        <v/>
      </c>
      <c r="L15">
        <f>IF(K15="",0,$D15*K15)</f>
        <v>0</v>
      </c>
      <c r="M15">
        <f>IF(K15="",0,$D15*4)</f>
        <v>0</v>
      </c>
      <c r="N15" t="str">
        <f>IF(Assessment!$G$25="","",IFERROR(MATCH(Assessment!$G$25,C_3_4_en,0)-1,IFERROR(MATCH(Assessment!$G$25,C_3_4_nl,0)-1,"")))</f>
        <v/>
      </c>
      <c r="O15">
        <f>IF(N15="",0,$D15*N15)</f>
        <v>0</v>
      </c>
      <c r="P15">
        <f>IF(N15="",0,$D15*4)</f>
        <v>0</v>
      </c>
      <c r="Q15" t="str">
        <f>IF(Assessment!$H$25="","",IFERROR(MATCH(Assessment!$H$25,C_3_4_en,0)-1,IFERROR(MATCH(Assessment!$H$25,C_3_4_nl,0)-1,"")))</f>
        <v/>
      </c>
      <c r="R15">
        <f>IF(Q15="",0,$D15*Q15)</f>
        <v>0</v>
      </c>
      <c r="S15">
        <f>IF(Q15="",0,$D15*4)</f>
        <v>0</v>
      </c>
      <c r="T15" t="str">
        <f>IF(Assessment!$I$25="","",IFERROR(MATCH(Assessment!$I$25,C_3_4_en,0)-1,IFERROR(MATCH(Assessment!$I$25,C_3_4_nl,0)-1,"")))</f>
        <v/>
      </c>
      <c r="U15">
        <f>IF(T15="",0,$D15*T15)</f>
        <v>0</v>
      </c>
      <c r="V15">
        <f>IF(T15="",0,$D15*4)</f>
        <v>0</v>
      </c>
    </row>
    <row r="16" spans="1:22" x14ac:dyDescent="0.2">
      <c r="A16" t="s">
        <v>30</v>
      </c>
      <c r="B16">
        <v>3</v>
      </c>
      <c r="C16" t="s">
        <v>217</v>
      </c>
      <c r="D16">
        <v>1.25</v>
      </c>
      <c r="E16" t="str">
        <f>IF(Assessment!$D$26="","",IFERROR(MATCH(Assessment!$D$26,B_en,0)-1,IFERROR(MATCH(Assessment!$D$26,B_nl,0)-1,"")))</f>
        <v/>
      </c>
      <c r="F16">
        <f>IF(E16="",0,$D16*E16)</f>
        <v>0</v>
      </c>
      <c r="G16">
        <f>IF(E16="",0,$D16*4)</f>
        <v>0</v>
      </c>
      <c r="H16" t="str">
        <f>IF(Assessment!$E$26="","",IFERROR(MATCH(Assessment!$E$26,B_en,0)-1,IFERROR(MATCH(Assessment!$E$26,B_nl,0)-1,"")))</f>
        <v/>
      </c>
      <c r="I16">
        <f>IF(H16="",0,$D16*H16)</f>
        <v>0</v>
      </c>
      <c r="J16">
        <f>IF(H16="",0,$D16*4)</f>
        <v>0</v>
      </c>
      <c r="K16" t="str">
        <f>IF(Assessment!$F$26="","",IFERROR(MATCH(Assessment!$F$26,B_en,0)-1,IFERROR(MATCH(Assessment!$F$26,B_nl,0)-1,"")))</f>
        <v/>
      </c>
      <c r="L16">
        <f>IF(K16="",0,$D16*K16)</f>
        <v>0</v>
      </c>
      <c r="M16">
        <f>IF(K16="",0,$D16*4)</f>
        <v>0</v>
      </c>
      <c r="N16" t="str">
        <f>IF(Assessment!$G$26="","",IFERROR(MATCH(Assessment!$G$26,B_en,0)-1,IFERROR(MATCH(Assessment!$G$26,B_nl,0)-1,"")))</f>
        <v/>
      </c>
      <c r="O16">
        <f>IF(N16="",0,$D16*N16)</f>
        <v>0</v>
      </c>
      <c r="P16">
        <f>IF(N16="",0,$D16*4)</f>
        <v>0</v>
      </c>
      <c r="Q16" t="str">
        <f>IF(Assessment!$H$26="","",IFERROR(MATCH(Assessment!$H$26,B_en,0)-1,IFERROR(MATCH(Assessment!$H$26,B_nl,0)-1,"")))</f>
        <v/>
      </c>
      <c r="R16">
        <f>IF(Q16="",0,$D16*Q16)</f>
        <v>0</v>
      </c>
      <c r="S16">
        <f>IF(Q16="",0,$D16*4)</f>
        <v>0</v>
      </c>
      <c r="T16" t="str">
        <f>IF(Assessment!$I$26="","",IFERROR(MATCH(Assessment!$I$26,B_en,0)-1,IFERROR(MATCH(Assessment!$I$26,B_nl,0)-1,"")))</f>
        <v/>
      </c>
      <c r="U16">
        <f>IF(T16="",0,$D16*T16)</f>
        <v>0</v>
      </c>
      <c r="V16">
        <f>IF(T16="",0,$D16*4)</f>
        <v>0</v>
      </c>
    </row>
    <row r="17" spans="1:22" x14ac:dyDescent="0.2">
      <c r="A17" t="s">
        <v>31</v>
      </c>
      <c r="B17">
        <v>4</v>
      </c>
      <c r="C17" t="s">
        <v>217</v>
      </c>
      <c r="D17">
        <v>1.25</v>
      </c>
      <c r="E17" t="str">
        <f>IF(Assessment!$D$28="","",IFERROR(MATCH(Assessment!$D$28,B_en,0)-1,IFERROR(MATCH(Assessment!$D$28,B_nl,0)-1,"")))</f>
        <v/>
      </c>
      <c r="F17">
        <f>IF(E17="",0,$D17*E17)</f>
        <v>0</v>
      </c>
      <c r="G17">
        <f>IF(E17="",0,$D17*4)</f>
        <v>0</v>
      </c>
      <c r="H17" t="str">
        <f>IF(Assessment!$E$28="","",IFERROR(MATCH(Assessment!$E$28,B_en,0)-1,IFERROR(MATCH(Assessment!$E$28,B_nl,0)-1,"")))</f>
        <v/>
      </c>
      <c r="I17">
        <f>IF(H17="",0,$D17*H17)</f>
        <v>0</v>
      </c>
      <c r="J17">
        <f>IF(H17="",0,$D17*4)</f>
        <v>0</v>
      </c>
      <c r="K17" t="str">
        <f>IF(Assessment!$F$28="","",IFERROR(MATCH(Assessment!$F$28,B_en,0)-1,IFERROR(MATCH(Assessment!$F$28,B_nl,0)-1,"")))</f>
        <v/>
      </c>
      <c r="L17">
        <f>IF(K17="",0,$D17*K17)</f>
        <v>0</v>
      </c>
      <c r="M17">
        <f>IF(K17="",0,$D17*4)</f>
        <v>0</v>
      </c>
      <c r="N17" t="str">
        <f>IF(Assessment!$G$28="","",IFERROR(MATCH(Assessment!$G$28,B_en,0)-1,IFERROR(MATCH(Assessment!$G$28,B_nl,0)-1,"")))</f>
        <v/>
      </c>
      <c r="O17">
        <f>IF(N17="",0,$D17*N17)</f>
        <v>0</v>
      </c>
      <c r="P17">
        <f>IF(N17="",0,$D17*4)</f>
        <v>0</v>
      </c>
      <c r="Q17" t="str">
        <f>IF(Assessment!$H$28="","",IFERROR(MATCH(Assessment!$H$28,B_en,0)-1,IFERROR(MATCH(Assessment!$H$28,B_nl,0)-1,"")))</f>
        <v/>
      </c>
      <c r="R17">
        <f>IF(Q17="",0,$D17*Q17)</f>
        <v>0</v>
      </c>
      <c r="S17">
        <f>IF(Q17="",0,$D17*4)</f>
        <v>0</v>
      </c>
      <c r="T17" t="str">
        <f>IF(Assessment!$I$28="","",IFERROR(MATCH(Assessment!$I$28,B_en,0)-1,IFERROR(MATCH(Assessment!$I$28,B_nl,0)-1,"")))</f>
        <v/>
      </c>
      <c r="U17">
        <f>IF(T17="",0,$D17*T17)</f>
        <v>0</v>
      </c>
      <c r="V17">
        <f>IF(T17="",0,$D17*4)</f>
        <v>0</v>
      </c>
    </row>
    <row r="18" spans="1:22" x14ac:dyDescent="0.2">
      <c r="A18" t="s">
        <v>32</v>
      </c>
      <c r="B18">
        <v>4</v>
      </c>
      <c r="C18" t="s">
        <v>218</v>
      </c>
      <c r="D18">
        <v>1.25</v>
      </c>
      <c r="E18" t="str">
        <f>IF(Assessment!$D$29="","",IFERROR(MATCH(Assessment!$D$29,C_4_2_en,0)-1,IFERROR(MATCH(Assessment!$D$29,C_4_2_nl,0)-1,"")))</f>
        <v/>
      </c>
      <c r="F18">
        <f>IF(E18="",0,$D18*E18)</f>
        <v>0</v>
      </c>
      <c r="G18">
        <f>IF(E18="",0,$D18*4)</f>
        <v>0</v>
      </c>
      <c r="H18" t="str">
        <f>IF(Assessment!$E$29="","",IFERROR(MATCH(Assessment!$E$29,C_4_2_en,0)-1,IFERROR(MATCH(Assessment!$E$29,C_4_2_nl,0)-1,"")))</f>
        <v/>
      </c>
      <c r="I18">
        <f>IF(H18="",0,$D18*H18)</f>
        <v>0</v>
      </c>
      <c r="J18">
        <f>IF(H18="",0,$D18*4)</f>
        <v>0</v>
      </c>
      <c r="K18" t="str">
        <f>IF(Assessment!$F$29="","",IFERROR(MATCH(Assessment!$F$29,C_4_2_en,0)-1,IFERROR(MATCH(Assessment!$F$29,C_4_2_nl,0)-1,"")))</f>
        <v/>
      </c>
      <c r="L18">
        <f>IF(K18="",0,$D18*K18)</f>
        <v>0</v>
      </c>
      <c r="M18">
        <f>IF(K18="",0,$D18*4)</f>
        <v>0</v>
      </c>
      <c r="N18" t="str">
        <f>IF(Assessment!$G$29="","",IFERROR(MATCH(Assessment!$G$29,C_4_2_en,0)-1,IFERROR(MATCH(Assessment!$G$29,C_4_2_nl,0)-1,"")))</f>
        <v/>
      </c>
      <c r="O18">
        <f>IF(N18="",0,$D18*N18)</f>
        <v>0</v>
      </c>
      <c r="P18">
        <f>IF(N18="",0,$D18*4)</f>
        <v>0</v>
      </c>
      <c r="Q18" t="str">
        <f>IF(Assessment!$H$29="","",IFERROR(MATCH(Assessment!$H$29,C_4_2_en,0)-1,IFERROR(MATCH(Assessment!$H$29,C_4_2_nl,0)-1,"")))</f>
        <v/>
      </c>
      <c r="R18">
        <f>IF(Q18="",0,$D18*Q18)</f>
        <v>0</v>
      </c>
      <c r="S18">
        <f>IF(Q18="",0,$D18*4)</f>
        <v>0</v>
      </c>
      <c r="T18" t="str">
        <f>IF(Assessment!$I$29="","",IFERROR(MATCH(Assessment!$I$29,C_4_2_en,0)-1,IFERROR(MATCH(Assessment!$I$29,C_4_2_nl,0)-1,"")))</f>
        <v/>
      </c>
      <c r="U18">
        <f>IF(T18="",0,$D18*T18)</f>
        <v>0</v>
      </c>
      <c r="V18">
        <f>IF(T18="",0,$D18*4)</f>
        <v>0</v>
      </c>
    </row>
    <row r="19" spans="1:22" x14ac:dyDescent="0.2">
      <c r="A19" t="s">
        <v>33</v>
      </c>
      <c r="B19">
        <v>4</v>
      </c>
      <c r="C19" t="s">
        <v>217</v>
      </c>
      <c r="D19">
        <v>1.25</v>
      </c>
      <c r="E19" t="str">
        <f>IF(Assessment!$D$30="","",IFERROR(MATCH(Assessment!$D$30,B_en,0)-1,IFERROR(MATCH(Assessment!$D$30,B_nl,0)-1,"")))</f>
        <v/>
      </c>
      <c r="F19">
        <f>IF(E19="",0,$D19*E19)</f>
        <v>0</v>
      </c>
      <c r="G19">
        <f>IF(E19="",0,$D19*4)</f>
        <v>0</v>
      </c>
      <c r="H19" t="str">
        <f>IF(Assessment!$E$30="","",IFERROR(MATCH(Assessment!$E$30,B_en,0)-1,IFERROR(MATCH(Assessment!$E$30,B_nl,0)-1,"")))</f>
        <v/>
      </c>
      <c r="I19">
        <f>IF(H19="",0,$D19*H19)</f>
        <v>0</v>
      </c>
      <c r="J19">
        <f>IF(H19="",0,$D19*4)</f>
        <v>0</v>
      </c>
      <c r="K19" t="str">
        <f>IF(Assessment!$F$30="","",IFERROR(MATCH(Assessment!$F$30,B_en,0)-1,IFERROR(MATCH(Assessment!$F$30,B_nl,0)-1,"")))</f>
        <v/>
      </c>
      <c r="L19">
        <f>IF(K19="",0,$D19*K19)</f>
        <v>0</v>
      </c>
      <c r="M19">
        <f>IF(K19="",0,$D19*4)</f>
        <v>0</v>
      </c>
      <c r="N19" t="str">
        <f>IF(Assessment!$G$30="","",IFERROR(MATCH(Assessment!$G$30,B_en,0)-1,IFERROR(MATCH(Assessment!$G$30,B_nl,0)-1,"")))</f>
        <v/>
      </c>
      <c r="O19">
        <f>IF(N19="",0,$D19*N19)</f>
        <v>0</v>
      </c>
      <c r="P19">
        <f>IF(N19="",0,$D19*4)</f>
        <v>0</v>
      </c>
      <c r="Q19" t="str">
        <f>IF(Assessment!$H$30="","",IFERROR(MATCH(Assessment!$H$30,B_en,0)-1,IFERROR(MATCH(Assessment!$H$30,B_nl,0)-1,"")))</f>
        <v/>
      </c>
      <c r="R19">
        <f>IF(Q19="",0,$D19*Q19)</f>
        <v>0</v>
      </c>
      <c r="S19">
        <f>IF(Q19="",0,$D19*4)</f>
        <v>0</v>
      </c>
      <c r="T19" t="str">
        <f>IF(Assessment!$I$30="","",IFERROR(MATCH(Assessment!$I$30,B_en,0)-1,IFERROR(MATCH(Assessment!$I$30,B_nl,0)-1,"")))</f>
        <v/>
      </c>
      <c r="U19">
        <f>IF(T19="",0,$D19*T19)</f>
        <v>0</v>
      </c>
      <c r="V19">
        <f>IF(T19="",0,$D19*4)</f>
        <v>0</v>
      </c>
    </row>
    <row r="20" spans="1:22" x14ac:dyDescent="0.2">
      <c r="A20" t="s">
        <v>34</v>
      </c>
      <c r="B20">
        <v>4</v>
      </c>
      <c r="C20" t="s">
        <v>217</v>
      </c>
      <c r="D20">
        <v>1.25</v>
      </c>
      <c r="E20" t="str">
        <f>IF(Assessment!$D$31="","",IFERROR(MATCH(Assessment!$D$31,B_en,0)-1,IFERROR(MATCH(Assessment!$D$31,B_nl,0)-1,"")))</f>
        <v/>
      </c>
      <c r="F20">
        <f>IF(E20="",0,$D20*E20)</f>
        <v>0</v>
      </c>
      <c r="G20">
        <f>IF(E20="",0,$D20*4)</f>
        <v>0</v>
      </c>
      <c r="H20" t="str">
        <f>IF(Assessment!$E$31="","",IFERROR(MATCH(Assessment!$E$31,B_en,0)-1,IFERROR(MATCH(Assessment!$E$31,B_nl,0)-1,"")))</f>
        <v/>
      </c>
      <c r="I20">
        <f>IF(H20="",0,$D20*H20)</f>
        <v>0</v>
      </c>
      <c r="J20">
        <f>IF(H20="",0,$D20*4)</f>
        <v>0</v>
      </c>
      <c r="K20" t="str">
        <f>IF(Assessment!$F$31="","",IFERROR(MATCH(Assessment!$F$31,B_en,0)-1,IFERROR(MATCH(Assessment!$F$31,B_nl,0)-1,"")))</f>
        <v/>
      </c>
      <c r="L20">
        <f>IF(K20="",0,$D20*K20)</f>
        <v>0</v>
      </c>
      <c r="M20">
        <f>IF(K20="",0,$D20*4)</f>
        <v>0</v>
      </c>
      <c r="N20" t="str">
        <f>IF(Assessment!$G$31="","",IFERROR(MATCH(Assessment!$G$31,B_en,0)-1,IFERROR(MATCH(Assessment!$G$31,B_nl,0)-1,"")))</f>
        <v/>
      </c>
      <c r="O20">
        <f>IF(N20="",0,$D20*N20)</f>
        <v>0</v>
      </c>
      <c r="P20">
        <f>IF(N20="",0,$D20*4)</f>
        <v>0</v>
      </c>
      <c r="Q20" t="str">
        <f>IF(Assessment!$H$31="","",IFERROR(MATCH(Assessment!$H$31,B_en,0)-1,IFERROR(MATCH(Assessment!$H$31,B_nl,0)-1,"")))</f>
        <v/>
      </c>
      <c r="R20">
        <f>IF(Q20="",0,$D20*Q20)</f>
        <v>0</v>
      </c>
      <c r="S20">
        <f>IF(Q20="",0,$D20*4)</f>
        <v>0</v>
      </c>
      <c r="T20" t="str">
        <f>IF(Assessment!$I$31="","",IFERROR(MATCH(Assessment!$I$31,B_en,0)-1,IFERROR(MATCH(Assessment!$I$31,B_nl,0)-1,"")))</f>
        <v/>
      </c>
      <c r="U20">
        <f>IF(T20="",0,$D20*T20)</f>
        <v>0</v>
      </c>
      <c r="V20">
        <f>IF(T20="",0,$D20*4)</f>
        <v>0</v>
      </c>
    </row>
    <row r="21" spans="1:22" x14ac:dyDescent="0.2">
      <c r="A21" t="s">
        <v>35</v>
      </c>
      <c r="B21">
        <v>4</v>
      </c>
      <c r="C21" t="s">
        <v>217</v>
      </c>
      <c r="D21">
        <v>1.25</v>
      </c>
      <c r="E21" t="str">
        <f>IF(Assessment!$D$32="","",IFERROR(MATCH(Assessment!$D$32,B_en,0)-1,IFERROR(MATCH(Assessment!$D$32,B_nl,0)-1,"")))</f>
        <v/>
      </c>
      <c r="F21">
        <f>IF(E21="",0,$D21*E21)</f>
        <v>0</v>
      </c>
      <c r="G21">
        <f>IF(E21="",0,$D21*4)</f>
        <v>0</v>
      </c>
      <c r="H21" t="str">
        <f>IF(Assessment!$E$32="","",IFERROR(MATCH(Assessment!$E$32,B_en,0)-1,IFERROR(MATCH(Assessment!$E$32,B_nl,0)-1,"")))</f>
        <v/>
      </c>
      <c r="I21">
        <f>IF(H21="",0,$D21*H21)</f>
        <v>0</v>
      </c>
      <c r="J21">
        <f>IF(H21="",0,$D21*4)</f>
        <v>0</v>
      </c>
      <c r="K21" t="str">
        <f>IF(Assessment!$F$32="","",IFERROR(MATCH(Assessment!$F$32,B_en,0)-1,IFERROR(MATCH(Assessment!$F$32,B_nl,0)-1,"")))</f>
        <v/>
      </c>
      <c r="L21">
        <f>IF(K21="",0,$D21*K21)</f>
        <v>0</v>
      </c>
      <c r="M21">
        <f>IF(K21="",0,$D21*4)</f>
        <v>0</v>
      </c>
      <c r="N21" t="str">
        <f>IF(Assessment!$G$32="","",IFERROR(MATCH(Assessment!$G$32,B_en,0)-1,IFERROR(MATCH(Assessment!$G$32,B_nl,0)-1,"")))</f>
        <v/>
      </c>
      <c r="O21">
        <f>IF(N21="",0,$D21*N21)</f>
        <v>0</v>
      </c>
      <c r="P21">
        <f>IF(N21="",0,$D21*4)</f>
        <v>0</v>
      </c>
      <c r="Q21" t="str">
        <f>IF(Assessment!$H$32="","",IFERROR(MATCH(Assessment!$H$32,B_en,0)-1,IFERROR(MATCH(Assessment!$H$32,B_nl,0)-1,"")))</f>
        <v/>
      </c>
      <c r="R21">
        <f>IF(Q21="",0,$D21*Q21)</f>
        <v>0</v>
      </c>
      <c r="S21">
        <f>IF(Q21="",0,$D21*4)</f>
        <v>0</v>
      </c>
      <c r="T21" t="str">
        <f>IF(Assessment!$I$32="","",IFERROR(MATCH(Assessment!$I$32,B_en,0)-1,IFERROR(MATCH(Assessment!$I$32,B_nl,0)-1,"")))</f>
        <v/>
      </c>
      <c r="U21">
        <f>IF(T21="",0,$D21*T21)</f>
        <v>0</v>
      </c>
      <c r="V21">
        <f>IF(T21="",0,$D21*4)</f>
        <v>0</v>
      </c>
    </row>
    <row r="22" spans="1:22" x14ac:dyDescent="0.2">
      <c r="A22" t="s">
        <v>36</v>
      </c>
      <c r="B22">
        <v>5</v>
      </c>
      <c r="C22" t="s">
        <v>217</v>
      </c>
      <c r="D22">
        <v>1.25</v>
      </c>
      <c r="E22" t="str">
        <f>IF(Assessment!$D$34="","",IFERROR(MATCH(Assessment!$D$34,B_en,0)-1,IFERROR(MATCH(Assessment!$D$34,B_nl,0)-1,"")))</f>
        <v/>
      </c>
      <c r="F22">
        <f>IF(E22="",0,$D22*E22)</f>
        <v>0</v>
      </c>
      <c r="G22">
        <f>IF(E22="",0,$D22*4)</f>
        <v>0</v>
      </c>
      <c r="H22" t="str">
        <f>IF(Assessment!$E$34="","",IFERROR(MATCH(Assessment!$E$34,B_en,0)-1,IFERROR(MATCH(Assessment!$E$34,B_nl,0)-1,"")))</f>
        <v/>
      </c>
      <c r="I22">
        <f>IF(H22="",0,$D22*H22)</f>
        <v>0</v>
      </c>
      <c r="J22">
        <f>IF(H22="",0,$D22*4)</f>
        <v>0</v>
      </c>
      <c r="K22" t="str">
        <f>IF(Assessment!$F$34="","",IFERROR(MATCH(Assessment!$F$34,B_en,0)-1,IFERROR(MATCH(Assessment!$F$34,B_nl,0)-1,"")))</f>
        <v/>
      </c>
      <c r="L22">
        <f>IF(K22="",0,$D22*K22)</f>
        <v>0</v>
      </c>
      <c r="M22">
        <f>IF(K22="",0,$D22*4)</f>
        <v>0</v>
      </c>
      <c r="N22" t="str">
        <f>IF(Assessment!$G$34="","",IFERROR(MATCH(Assessment!$G$34,B_en,0)-1,IFERROR(MATCH(Assessment!$G$34,B_nl,0)-1,"")))</f>
        <v/>
      </c>
      <c r="O22">
        <f>IF(N22="",0,$D22*N22)</f>
        <v>0</v>
      </c>
      <c r="P22">
        <f>IF(N22="",0,$D22*4)</f>
        <v>0</v>
      </c>
      <c r="Q22" t="str">
        <f>IF(Assessment!$H$34="","",IFERROR(MATCH(Assessment!$H$34,B_en,0)-1,IFERROR(MATCH(Assessment!$H$34,B_nl,0)-1,"")))</f>
        <v/>
      </c>
      <c r="R22">
        <f>IF(Q22="",0,$D22*Q22)</f>
        <v>0</v>
      </c>
      <c r="S22">
        <f>IF(Q22="",0,$D22*4)</f>
        <v>0</v>
      </c>
      <c r="T22" t="str">
        <f>IF(Assessment!$I$34="","",IFERROR(MATCH(Assessment!$I$34,B_en,0)-1,IFERROR(MATCH(Assessment!$I$34,B_nl,0)-1,"")))</f>
        <v/>
      </c>
      <c r="U22">
        <f>IF(T22="",0,$D22*T22)</f>
        <v>0</v>
      </c>
      <c r="V22">
        <f>IF(T22="",0,$D22*4)</f>
        <v>0</v>
      </c>
    </row>
    <row r="23" spans="1:22" x14ac:dyDescent="0.2">
      <c r="A23" t="s">
        <v>37</v>
      </c>
      <c r="B23">
        <v>5</v>
      </c>
      <c r="C23" t="s">
        <v>217</v>
      </c>
      <c r="D23">
        <v>1.25</v>
      </c>
      <c r="E23" t="str">
        <f>IF(Assessment!$D$35="","",IFERROR(MATCH(Assessment!$D$35,B_en,0)-1,IFERROR(MATCH(Assessment!$D$35,B_nl,0)-1,"")))</f>
        <v/>
      </c>
      <c r="F23">
        <f>IF(E23="",0,$D23*E23)</f>
        <v>0</v>
      </c>
      <c r="G23">
        <f>IF(E23="",0,$D23*4)</f>
        <v>0</v>
      </c>
      <c r="H23" t="str">
        <f>IF(Assessment!$E$35="","",IFERROR(MATCH(Assessment!$E$35,B_en,0)-1,IFERROR(MATCH(Assessment!$E$35,B_nl,0)-1,"")))</f>
        <v/>
      </c>
      <c r="I23">
        <f>IF(H23="",0,$D23*H23)</f>
        <v>0</v>
      </c>
      <c r="J23">
        <f>IF(H23="",0,$D23*4)</f>
        <v>0</v>
      </c>
      <c r="K23" t="str">
        <f>IF(Assessment!$F$35="","",IFERROR(MATCH(Assessment!$F$35,B_en,0)-1,IFERROR(MATCH(Assessment!$F$35,B_nl,0)-1,"")))</f>
        <v/>
      </c>
      <c r="L23">
        <f>IF(K23="",0,$D23*K23)</f>
        <v>0</v>
      </c>
      <c r="M23">
        <f>IF(K23="",0,$D23*4)</f>
        <v>0</v>
      </c>
      <c r="N23" t="str">
        <f>IF(Assessment!$G$35="","",IFERROR(MATCH(Assessment!$G$35,B_en,0)-1,IFERROR(MATCH(Assessment!$G$35,B_nl,0)-1,"")))</f>
        <v/>
      </c>
      <c r="O23">
        <f>IF(N23="",0,$D23*N23)</f>
        <v>0</v>
      </c>
      <c r="P23">
        <f>IF(N23="",0,$D23*4)</f>
        <v>0</v>
      </c>
      <c r="Q23" t="str">
        <f>IF(Assessment!$H$35="","",IFERROR(MATCH(Assessment!$H$35,B_en,0)-1,IFERROR(MATCH(Assessment!$H$35,B_nl,0)-1,"")))</f>
        <v/>
      </c>
      <c r="R23">
        <f>IF(Q23="",0,$D23*Q23)</f>
        <v>0</v>
      </c>
      <c r="S23">
        <f>IF(Q23="",0,$D23*4)</f>
        <v>0</v>
      </c>
      <c r="T23" t="str">
        <f>IF(Assessment!$I$35="","",IFERROR(MATCH(Assessment!$I$35,B_en,0)-1,IFERROR(MATCH(Assessment!$I$35,B_nl,0)-1,"")))</f>
        <v/>
      </c>
      <c r="U23">
        <f>IF(T23="",0,$D23*T23)</f>
        <v>0</v>
      </c>
      <c r="V23">
        <f>IF(T23="",0,$D23*4)</f>
        <v>0</v>
      </c>
    </row>
    <row r="24" spans="1:22" x14ac:dyDescent="0.2">
      <c r="A24" t="s">
        <v>38</v>
      </c>
      <c r="B24">
        <v>5</v>
      </c>
      <c r="C24" t="s">
        <v>219</v>
      </c>
      <c r="D24">
        <v>1</v>
      </c>
      <c r="E24" t="str">
        <f>IF(Assessment!$D$36="","",IFERROR(MATCH(Assessment!$D$36,A_en,0)-1,IFERROR(MATCH(Assessment!$D$36,A_nl,0)-1,"")))</f>
        <v/>
      </c>
      <c r="F24">
        <f>IF(E24="",0,$D24*E24)</f>
        <v>0</v>
      </c>
      <c r="G24">
        <f>IF(E24="",0,$D24*4)</f>
        <v>0</v>
      </c>
      <c r="H24" t="str">
        <f>IF(Assessment!$E$36="","",IFERROR(MATCH(Assessment!$E$36,A_en,0)-1,IFERROR(MATCH(Assessment!$E$36,A_nl,0)-1,"")))</f>
        <v/>
      </c>
      <c r="I24">
        <f>IF(H24="",0,$D24*H24)</f>
        <v>0</v>
      </c>
      <c r="J24">
        <f>IF(H24="",0,$D24*4)</f>
        <v>0</v>
      </c>
      <c r="K24" t="str">
        <f>IF(Assessment!$F$36="","",IFERROR(MATCH(Assessment!$F$36,A_en,0)-1,IFERROR(MATCH(Assessment!$F$36,A_nl,0)-1,"")))</f>
        <v/>
      </c>
      <c r="L24">
        <f>IF(K24="",0,$D24*K24)</f>
        <v>0</v>
      </c>
      <c r="M24">
        <f>IF(K24="",0,$D24*4)</f>
        <v>0</v>
      </c>
      <c r="N24" t="str">
        <f>IF(Assessment!$G$36="","",IFERROR(MATCH(Assessment!$G$36,A_en,0)-1,IFERROR(MATCH(Assessment!$G$36,A_nl,0)-1,"")))</f>
        <v/>
      </c>
      <c r="O24">
        <f>IF(N24="",0,$D24*N24)</f>
        <v>0</v>
      </c>
      <c r="P24">
        <f>IF(N24="",0,$D24*4)</f>
        <v>0</v>
      </c>
      <c r="Q24" t="str">
        <f>IF(Assessment!$H$36="","",IFERROR(MATCH(Assessment!$H$36,A_en,0)-1,IFERROR(MATCH(Assessment!$H$36,A_nl,0)-1,"")))</f>
        <v/>
      </c>
      <c r="R24">
        <f>IF(Q24="",0,$D24*Q24)</f>
        <v>0</v>
      </c>
      <c r="S24">
        <f>IF(Q24="",0,$D24*4)</f>
        <v>0</v>
      </c>
      <c r="T24" t="str">
        <f>IF(Assessment!$I$36="","",IFERROR(MATCH(Assessment!$I$36,A_en,0)-1,IFERROR(MATCH(Assessment!$I$36,A_nl,0)-1,"")))</f>
        <v/>
      </c>
      <c r="U24">
        <f>IF(T24="",0,$D24*T24)</f>
        <v>0</v>
      </c>
      <c r="V24">
        <f>IF(T24="",0,$D24*4)</f>
        <v>0</v>
      </c>
    </row>
    <row r="25" spans="1:22" x14ac:dyDescent="0.2">
      <c r="A25" t="s">
        <v>39</v>
      </c>
      <c r="B25">
        <v>5</v>
      </c>
      <c r="C25" t="s">
        <v>217</v>
      </c>
      <c r="D25">
        <v>1.25</v>
      </c>
      <c r="E25" t="str">
        <f>IF(Assessment!$D$37="","",IFERROR(MATCH(Assessment!$D$37,B_en,0)-1,IFERROR(MATCH(Assessment!$D$37,B_nl,0)-1,"")))</f>
        <v/>
      </c>
      <c r="F25">
        <f>IF(E25="",0,$D25*E25)</f>
        <v>0</v>
      </c>
      <c r="G25">
        <f>IF(E25="",0,$D25*4)</f>
        <v>0</v>
      </c>
      <c r="H25" t="str">
        <f>IF(Assessment!$E$37="","",IFERROR(MATCH(Assessment!$E$37,B_en,0)-1,IFERROR(MATCH(Assessment!$E$37,B_nl,0)-1,"")))</f>
        <v/>
      </c>
      <c r="I25">
        <f>IF(H25="",0,$D25*H25)</f>
        <v>0</v>
      </c>
      <c r="J25">
        <f>IF(H25="",0,$D25*4)</f>
        <v>0</v>
      </c>
      <c r="K25" t="str">
        <f>IF(Assessment!$F$37="","",IFERROR(MATCH(Assessment!$F$37,B_en,0)-1,IFERROR(MATCH(Assessment!$F$37,B_nl,0)-1,"")))</f>
        <v/>
      </c>
      <c r="L25">
        <f>IF(K25="",0,$D25*K25)</f>
        <v>0</v>
      </c>
      <c r="M25">
        <f>IF(K25="",0,$D25*4)</f>
        <v>0</v>
      </c>
      <c r="N25" t="str">
        <f>IF(Assessment!$G$37="","",IFERROR(MATCH(Assessment!$G$37,B_en,0)-1,IFERROR(MATCH(Assessment!$G$37,B_nl,0)-1,"")))</f>
        <v/>
      </c>
      <c r="O25">
        <f>IF(N25="",0,$D25*N25)</f>
        <v>0</v>
      </c>
      <c r="P25">
        <f>IF(N25="",0,$D25*4)</f>
        <v>0</v>
      </c>
      <c r="Q25" t="str">
        <f>IF(Assessment!$H$37="","",IFERROR(MATCH(Assessment!$H$37,B_en,0)-1,IFERROR(MATCH(Assessment!$H$37,B_nl,0)-1,"")))</f>
        <v/>
      </c>
      <c r="R25">
        <f>IF(Q25="",0,$D25*Q25)</f>
        <v>0</v>
      </c>
      <c r="S25">
        <f>IF(Q25="",0,$D25*4)</f>
        <v>0</v>
      </c>
      <c r="T25" t="str">
        <f>IF(Assessment!$I$37="","",IFERROR(MATCH(Assessment!$I$37,B_en,0)-1,IFERROR(MATCH(Assessment!$I$37,B_nl,0)-1,"")))</f>
        <v/>
      </c>
      <c r="U25">
        <f>IF(T25="",0,$D25*T25)</f>
        <v>0</v>
      </c>
      <c r="V25">
        <f>IF(T25="",0,$D25*4)</f>
        <v>0</v>
      </c>
    </row>
    <row r="26" spans="1:22" x14ac:dyDescent="0.2">
      <c r="A26" t="s">
        <v>40</v>
      </c>
      <c r="B26">
        <v>5</v>
      </c>
      <c r="C26" t="s">
        <v>218</v>
      </c>
      <c r="D26">
        <v>1.25</v>
      </c>
      <c r="E26" t="str">
        <f>IF(Assessment!$D$38="","",IFERROR(MATCH(Assessment!$D$38,C_5_5_en,0)-1,IFERROR(MATCH(Assessment!$D$38,C_5_5_nl,0)-1,"")))</f>
        <v/>
      </c>
      <c r="F26">
        <f>IF(E26="",0,$D26*E26)</f>
        <v>0</v>
      </c>
      <c r="G26">
        <f>IF(E26="",0,$D26*4)</f>
        <v>0</v>
      </c>
      <c r="H26" t="str">
        <f>IF(Assessment!$E$38="","",IFERROR(MATCH(Assessment!$E$38,C_5_5_en,0)-1,IFERROR(MATCH(Assessment!$E$38,C_5_5_nl,0)-1,"")))</f>
        <v/>
      </c>
      <c r="I26">
        <f>IF(H26="",0,$D26*H26)</f>
        <v>0</v>
      </c>
      <c r="J26">
        <f>IF(H26="",0,$D26*4)</f>
        <v>0</v>
      </c>
      <c r="K26" t="str">
        <f>IF(Assessment!$F$38="","",IFERROR(MATCH(Assessment!$F$38,C_5_5_en,0)-1,IFERROR(MATCH(Assessment!$F$38,C_5_5_nl,0)-1,"")))</f>
        <v/>
      </c>
      <c r="L26">
        <f>IF(K26="",0,$D26*K26)</f>
        <v>0</v>
      </c>
      <c r="M26">
        <f>IF(K26="",0,$D26*4)</f>
        <v>0</v>
      </c>
      <c r="N26" t="str">
        <f>IF(Assessment!$G$38="","",IFERROR(MATCH(Assessment!$G$38,C_5_5_en,0)-1,IFERROR(MATCH(Assessment!$G$38,C_5_5_nl,0)-1,"")))</f>
        <v/>
      </c>
      <c r="O26">
        <f>IF(N26="",0,$D26*N26)</f>
        <v>0</v>
      </c>
      <c r="P26">
        <f>IF(N26="",0,$D26*4)</f>
        <v>0</v>
      </c>
      <c r="Q26" t="str">
        <f>IF(Assessment!$H$38="","",IFERROR(MATCH(Assessment!$H$38,C_5_5_en,0)-1,IFERROR(MATCH(Assessment!$H$38,C_5_5_nl,0)-1,"")))</f>
        <v/>
      </c>
      <c r="R26">
        <f>IF(Q26="",0,$D26*Q26)</f>
        <v>0</v>
      </c>
      <c r="S26">
        <f>IF(Q26="",0,$D26*4)</f>
        <v>0</v>
      </c>
      <c r="T26" t="str">
        <f>IF(Assessment!$I$38="","",IFERROR(MATCH(Assessment!$I$38,C_5_5_en,0)-1,IFERROR(MATCH(Assessment!$I$38,C_5_5_nl,0)-1,"")))</f>
        <v/>
      </c>
      <c r="U26">
        <f>IF(T26="",0,$D26*T26)</f>
        <v>0</v>
      </c>
      <c r="V26">
        <f>IF(T26="",0,$D26*4)</f>
        <v>0</v>
      </c>
    </row>
    <row r="27" spans="1:22" x14ac:dyDescent="0.2">
      <c r="A27" t="s">
        <v>41</v>
      </c>
      <c r="B27">
        <v>6</v>
      </c>
      <c r="C27" t="s">
        <v>217</v>
      </c>
      <c r="D27">
        <v>1.25</v>
      </c>
      <c r="E27" t="str">
        <f>IF(Assessment!$D$40="","",IFERROR(MATCH(Assessment!$D$40,B_en,0)-1,IFERROR(MATCH(Assessment!$D$40,B_nl,0)-1,"")))</f>
        <v/>
      </c>
      <c r="F27">
        <f>IF(E27="",0,$D27*E27)</f>
        <v>0</v>
      </c>
      <c r="G27">
        <f>IF(E27="",0,$D27*4)</f>
        <v>0</v>
      </c>
      <c r="H27" t="str">
        <f>IF(Assessment!$E$40="","",IFERROR(MATCH(Assessment!$E$40,B_en,0)-1,IFERROR(MATCH(Assessment!$E$40,B_nl,0)-1,"")))</f>
        <v/>
      </c>
      <c r="I27">
        <f>IF(H27="",0,$D27*H27)</f>
        <v>0</v>
      </c>
      <c r="J27">
        <f>IF(H27="",0,$D27*4)</f>
        <v>0</v>
      </c>
      <c r="K27" t="str">
        <f>IF(Assessment!$F$40="","",IFERROR(MATCH(Assessment!$F$40,B_en,0)-1,IFERROR(MATCH(Assessment!$F$40,B_nl,0)-1,"")))</f>
        <v/>
      </c>
      <c r="L27">
        <f>IF(K27="",0,$D27*K27)</f>
        <v>0</v>
      </c>
      <c r="M27">
        <f>IF(K27="",0,$D27*4)</f>
        <v>0</v>
      </c>
      <c r="N27" t="str">
        <f>IF(Assessment!$G$40="","",IFERROR(MATCH(Assessment!$G$40,B_en,0)-1,IFERROR(MATCH(Assessment!$G$40,B_nl,0)-1,"")))</f>
        <v/>
      </c>
      <c r="O27">
        <f>IF(N27="",0,$D27*N27)</f>
        <v>0</v>
      </c>
      <c r="P27">
        <f>IF(N27="",0,$D27*4)</f>
        <v>0</v>
      </c>
      <c r="Q27" t="str">
        <f>IF(Assessment!$H$40="","",IFERROR(MATCH(Assessment!$H$40,B_en,0)-1,IFERROR(MATCH(Assessment!$H$40,B_nl,0)-1,"")))</f>
        <v/>
      </c>
      <c r="R27">
        <f>IF(Q27="",0,$D27*Q27)</f>
        <v>0</v>
      </c>
      <c r="S27">
        <f>IF(Q27="",0,$D27*4)</f>
        <v>0</v>
      </c>
      <c r="T27" t="str">
        <f>IF(Assessment!$I$40="","",IFERROR(MATCH(Assessment!$I$40,B_en,0)-1,IFERROR(MATCH(Assessment!$I$40,B_nl,0)-1,"")))</f>
        <v/>
      </c>
      <c r="U27">
        <f>IF(T27="",0,$D27*T27)</f>
        <v>0</v>
      </c>
      <c r="V27">
        <f>IF(T27="",0,$D27*4)</f>
        <v>0</v>
      </c>
    </row>
    <row r="28" spans="1:22" x14ac:dyDescent="0.2">
      <c r="A28" t="s">
        <v>42</v>
      </c>
      <c r="B28">
        <v>6</v>
      </c>
      <c r="C28" t="s">
        <v>217</v>
      </c>
      <c r="D28">
        <v>1.25</v>
      </c>
      <c r="E28" t="str">
        <f>IF(Assessment!$D$41="","",IFERROR(MATCH(Assessment!$D$41,B_en,0)-1,IFERROR(MATCH(Assessment!$D$41,B_nl,0)-1,"")))</f>
        <v/>
      </c>
      <c r="F28">
        <f>IF(E28="",0,$D28*E28)</f>
        <v>0</v>
      </c>
      <c r="G28">
        <f>IF(E28="",0,$D28*4)</f>
        <v>0</v>
      </c>
      <c r="H28" t="str">
        <f>IF(Assessment!$E$41="","",IFERROR(MATCH(Assessment!$E$41,B_en,0)-1,IFERROR(MATCH(Assessment!$E$41,B_nl,0)-1,"")))</f>
        <v/>
      </c>
      <c r="I28">
        <f>IF(H28="",0,$D28*H28)</f>
        <v>0</v>
      </c>
      <c r="J28">
        <f>IF(H28="",0,$D28*4)</f>
        <v>0</v>
      </c>
      <c r="K28" t="str">
        <f>IF(Assessment!$F$41="","",IFERROR(MATCH(Assessment!$F$41,B_en,0)-1,IFERROR(MATCH(Assessment!$F$41,B_nl,0)-1,"")))</f>
        <v/>
      </c>
      <c r="L28">
        <f>IF(K28="",0,$D28*K28)</f>
        <v>0</v>
      </c>
      <c r="M28">
        <f>IF(K28="",0,$D28*4)</f>
        <v>0</v>
      </c>
      <c r="N28" t="str">
        <f>IF(Assessment!$G$41="","",IFERROR(MATCH(Assessment!$G$41,B_en,0)-1,IFERROR(MATCH(Assessment!$G$41,B_nl,0)-1,"")))</f>
        <v/>
      </c>
      <c r="O28">
        <f>IF(N28="",0,$D28*N28)</f>
        <v>0</v>
      </c>
      <c r="P28">
        <f>IF(N28="",0,$D28*4)</f>
        <v>0</v>
      </c>
      <c r="Q28" t="str">
        <f>IF(Assessment!$H$41="","",IFERROR(MATCH(Assessment!$H$41,B_en,0)-1,IFERROR(MATCH(Assessment!$H$41,B_nl,0)-1,"")))</f>
        <v/>
      </c>
      <c r="R28">
        <f>IF(Q28="",0,$D28*Q28)</f>
        <v>0</v>
      </c>
      <c r="S28">
        <f>IF(Q28="",0,$D28*4)</f>
        <v>0</v>
      </c>
      <c r="T28" t="str">
        <f>IF(Assessment!$I$41="","",IFERROR(MATCH(Assessment!$I$41,B_en,0)-1,IFERROR(MATCH(Assessment!$I$41,B_nl,0)-1,"")))</f>
        <v/>
      </c>
      <c r="U28">
        <f>IF(T28="",0,$D28*T28)</f>
        <v>0</v>
      </c>
      <c r="V28">
        <f>IF(T28="",0,$D28*4)</f>
        <v>0</v>
      </c>
    </row>
    <row r="29" spans="1:22" x14ac:dyDescent="0.2">
      <c r="A29" t="s">
        <v>43</v>
      </c>
      <c r="B29">
        <v>6</v>
      </c>
      <c r="C29" t="s">
        <v>217</v>
      </c>
      <c r="D29">
        <v>1.25</v>
      </c>
      <c r="E29" t="str">
        <f>IF(Assessment!$D$42="","",IFERROR(MATCH(Assessment!$D$42,B_en,0)-1,IFERROR(MATCH(Assessment!$D$42,B_nl,0)-1,"")))</f>
        <v/>
      </c>
      <c r="F29">
        <f>IF(E29="",0,$D29*E29)</f>
        <v>0</v>
      </c>
      <c r="G29">
        <f>IF(E29="",0,$D29*4)</f>
        <v>0</v>
      </c>
      <c r="H29" t="str">
        <f>IF(Assessment!$E$42="","",IFERROR(MATCH(Assessment!$E$42,B_en,0)-1,IFERROR(MATCH(Assessment!$E$42,B_nl,0)-1,"")))</f>
        <v/>
      </c>
      <c r="I29">
        <f>IF(H29="",0,$D29*H29)</f>
        <v>0</v>
      </c>
      <c r="J29">
        <f>IF(H29="",0,$D29*4)</f>
        <v>0</v>
      </c>
      <c r="K29" t="str">
        <f>IF(Assessment!$F$42="","",IFERROR(MATCH(Assessment!$F$42,B_en,0)-1,IFERROR(MATCH(Assessment!$F$42,B_nl,0)-1,"")))</f>
        <v/>
      </c>
      <c r="L29">
        <f>IF(K29="",0,$D29*K29)</f>
        <v>0</v>
      </c>
      <c r="M29">
        <f>IF(K29="",0,$D29*4)</f>
        <v>0</v>
      </c>
      <c r="N29" t="str">
        <f>IF(Assessment!$G$42="","",IFERROR(MATCH(Assessment!$G$42,B_en,0)-1,IFERROR(MATCH(Assessment!$G$42,B_nl,0)-1,"")))</f>
        <v/>
      </c>
      <c r="O29">
        <f>IF(N29="",0,$D29*N29)</f>
        <v>0</v>
      </c>
      <c r="P29">
        <f>IF(N29="",0,$D29*4)</f>
        <v>0</v>
      </c>
      <c r="Q29" t="str">
        <f>IF(Assessment!$H$42="","",IFERROR(MATCH(Assessment!$H$42,B_en,0)-1,IFERROR(MATCH(Assessment!$H$42,B_nl,0)-1,"")))</f>
        <v/>
      </c>
      <c r="R29">
        <f>IF(Q29="",0,$D29*Q29)</f>
        <v>0</v>
      </c>
      <c r="S29">
        <f>IF(Q29="",0,$D29*4)</f>
        <v>0</v>
      </c>
      <c r="T29" t="str">
        <f>IF(Assessment!$I$42="","",IFERROR(MATCH(Assessment!$I$42,B_en,0)-1,IFERROR(MATCH(Assessment!$I$42,B_nl,0)-1,"")))</f>
        <v/>
      </c>
      <c r="U29">
        <f>IF(T29="",0,$D29*T29)</f>
        <v>0</v>
      </c>
      <c r="V29">
        <f>IF(T29="",0,$D29*4)</f>
        <v>0</v>
      </c>
    </row>
    <row r="30" spans="1:22" x14ac:dyDescent="0.2">
      <c r="A30" t="s">
        <v>44</v>
      </c>
      <c r="B30">
        <v>6</v>
      </c>
      <c r="C30" t="s">
        <v>219</v>
      </c>
      <c r="D30">
        <v>1</v>
      </c>
      <c r="E30" t="str">
        <f>IF(Assessment!$D$43="","",IFERROR(MATCH(Assessment!$D$43,A_en,0)-1,IFERROR(MATCH(Assessment!$D$43,A_nl,0)-1,"")))</f>
        <v/>
      </c>
      <c r="F30">
        <f>IF(E30="",0,$D30*E30)</f>
        <v>0</v>
      </c>
      <c r="G30">
        <f>IF(E30="",0,$D30*4)</f>
        <v>0</v>
      </c>
      <c r="H30" t="str">
        <f>IF(Assessment!$E$43="","",IFERROR(MATCH(Assessment!$E$43,A_en,0)-1,IFERROR(MATCH(Assessment!$E$43,A_nl,0)-1,"")))</f>
        <v/>
      </c>
      <c r="I30">
        <f>IF(H30="",0,$D30*H30)</f>
        <v>0</v>
      </c>
      <c r="J30">
        <f>IF(H30="",0,$D30*4)</f>
        <v>0</v>
      </c>
      <c r="K30" t="str">
        <f>IF(Assessment!$F$43="","",IFERROR(MATCH(Assessment!$F$43,A_en,0)-1,IFERROR(MATCH(Assessment!$F$43,A_nl,0)-1,"")))</f>
        <v/>
      </c>
      <c r="L30">
        <f>IF(K30="",0,$D30*K30)</f>
        <v>0</v>
      </c>
      <c r="M30">
        <f>IF(K30="",0,$D30*4)</f>
        <v>0</v>
      </c>
      <c r="N30" t="str">
        <f>IF(Assessment!$G$43="","",IFERROR(MATCH(Assessment!$G$43,A_en,0)-1,IFERROR(MATCH(Assessment!$G$43,A_nl,0)-1,"")))</f>
        <v/>
      </c>
      <c r="O30">
        <f>IF(N30="",0,$D30*N30)</f>
        <v>0</v>
      </c>
      <c r="P30">
        <f>IF(N30="",0,$D30*4)</f>
        <v>0</v>
      </c>
      <c r="Q30" t="str">
        <f>IF(Assessment!$H$43="","",IFERROR(MATCH(Assessment!$H$43,A_en,0)-1,IFERROR(MATCH(Assessment!$H$43,A_nl,0)-1,"")))</f>
        <v/>
      </c>
      <c r="R30">
        <f>IF(Q30="",0,$D30*Q30)</f>
        <v>0</v>
      </c>
      <c r="S30">
        <f>IF(Q30="",0,$D30*4)</f>
        <v>0</v>
      </c>
      <c r="T30" t="str">
        <f>IF(Assessment!$I$43="","",IFERROR(MATCH(Assessment!$I$43,A_en,0)-1,IFERROR(MATCH(Assessment!$I$43,A_nl,0)-1,"")))</f>
        <v/>
      </c>
      <c r="U30">
        <f>IF(T30="",0,$D30*T30)</f>
        <v>0</v>
      </c>
      <c r="V30">
        <f>IF(T30="",0,$D30*4)</f>
        <v>0</v>
      </c>
    </row>
    <row r="31" spans="1:22" x14ac:dyDescent="0.2">
      <c r="A31" t="s">
        <v>45</v>
      </c>
      <c r="B31">
        <v>6</v>
      </c>
      <c r="C31" t="s">
        <v>218</v>
      </c>
      <c r="D31">
        <v>1.25</v>
      </c>
      <c r="E31" t="str">
        <f>IF(Assessment!$D$44="","",IFERROR(MATCH(Assessment!$D$44,C_6_5_en,0)-1,IFERROR(MATCH(Assessment!$D$44,C_6_5_nl,0)-1,"")))</f>
        <v/>
      </c>
      <c r="F31">
        <f>IF(E31="",0,$D31*E31)</f>
        <v>0</v>
      </c>
      <c r="G31">
        <f>IF(E31="",0,$D31*4)</f>
        <v>0</v>
      </c>
      <c r="H31" t="str">
        <f>IF(Assessment!$E$44="","",IFERROR(MATCH(Assessment!$E$44,C_6_5_en,0)-1,IFERROR(MATCH(Assessment!$E$44,C_6_5_nl,0)-1,"")))</f>
        <v/>
      </c>
      <c r="I31">
        <f>IF(H31="",0,$D31*H31)</f>
        <v>0</v>
      </c>
      <c r="J31">
        <f>IF(H31="",0,$D31*4)</f>
        <v>0</v>
      </c>
      <c r="K31" t="str">
        <f>IF(Assessment!$F$44="","",IFERROR(MATCH(Assessment!$F$44,C_6_5_en,0)-1,IFERROR(MATCH(Assessment!$F$44,C_6_5_nl,0)-1,"")))</f>
        <v/>
      </c>
      <c r="L31">
        <f>IF(K31="",0,$D31*K31)</f>
        <v>0</v>
      </c>
      <c r="M31">
        <f>IF(K31="",0,$D31*4)</f>
        <v>0</v>
      </c>
      <c r="N31" t="str">
        <f>IF(Assessment!$G$44="","",IFERROR(MATCH(Assessment!$G$44,C_6_5_en,0)-1,IFERROR(MATCH(Assessment!$G$44,C_6_5_nl,0)-1,"")))</f>
        <v/>
      </c>
      <c r="O31">
        <f>IF(N31="",0,$D31*N31)</f>
        <v>0</v>
      </c>
      <c r="P31">
        <f>IF(N31="",0,$D31*4)</f>
        <v>0</v>
      </c>
      <c r="Q31" t="str">
        <f>IF(Assessment!$H$44="","",IFERROR(MATCH(Assessment!$H$44,C_6_5_en,0)-1,IFERROR(MATCH(Assessment!$H$44,C_6_5_nl,0)-1,"")))</f>
        <v/>
      </c>
      <c r="R31">
        <f>IF(Q31="",0,$D31*Q31)</f>
        <v>0</v>
      </c>
      <c r="S31">
        <f>IF(Q31="",0,$D31*4)</f>
        <v>0</v>
      </c>
      <c r="T31" t="str">
        <f>IF(Assessment!$I$44="","",IFERROR(MATCH(Assessment!$I$44,C_6_5_en,0)-1,IFERROR(MATCH(Assessment!$I$44,C_6_5_nl,0)-1,"")))</f>
        <v/>
      </c>
      <c r="U31">
        <f>IF(T31="",0,$D31*T31)</f>
        <v>0</v>
      </c>
      <c r="V31">
        <f>IF(T31="",0,$D31*4)</f>
        <v>0</v>
      </c>
    </row>
    <row r="32" spans="1:22" x14ac:dyDescent="0.2">
      <c r="A32" t="s">
        <v>46</v>
      </c>
      <c r="B32">
        <v>7</v>
      </c>
      <c r="C32" t="s">
        <v>218</v>
      </c>
      <c r="D32">
        <v>1.25</v>
      </c>
      <c r="E32" t="str">
        <f>IF(Assessment!$D$46="","",IFERROR(MATCH(Assessment!$D$46,C_7_1_en,0)-1,IFERROR(MATCH(Assessment!$D$46,C_7_1_nl,0)-1,"")))</f>
        <v/>
      </c>
      <c r="F32">
        <f>IF(E32="",0,$D32*E32)</f>
        <v>0</v>
      </c>
      <c r="G32">
        <f>IF(E32="",0,$D32*4)</f>
        <v>0</v>
      </c>
      <c r="H32" t="str">
        <f>IF(Assessment!$E$46="","",IFERROR(MATCH(Assessment!$E$46,C_7_1_en,0)-1,IFERROR(MATCH(Assessment!$E$46,C_7_1_nl,0)-1,"")))</f>
        <v/>
      </c>
      <c r="I32">
        <f>IF(H32="",0,$D32*H32)</f>
        <v>0</v>
      </c>
      <c r="J32">
        <f>IF(H32="",0,$D32*4)</f>
        <v>0</v>
      </c>
      <c r="K32" t="str">
        <f>IF(Assessment!$F$46="","",IFERROR(MATCH(Assessment!$F$46,C_7_1_en,0)-1,IFERROR(MATCH(Assessment!$F$46,C_7_1_nl,0)-1,"")))</f>
        <v/>
      </c>
      <c r="L32">
        <f>IF(K32="",0,$D32*K32)</f>
        <v>0</v>
      </c>
      <c r="M32">
        <f>IF(K32="",0,$D32*4)</f>
        <v>0</v>
      </c>
      <c r="N32" t="str">
        <f>IF(Assessment!$G$46="","",IFERROR(MATCH(Assessment!$G$46,C_7_1_en,0)-1,IFERROR(MATCH(Assessment!$G$46,C_7_1_nl,0)-1,"")))</f>
        <v/>
      </c>
      <c r="O32">
        <f>IF(N32="",0,$D32*N32)</f>
        <v>0</v>
      </c>
      <c r="P32">
        <f>IF(N32="",0,$D32*4)</f>
        <v>0</v>
      </c>
      <c r="Q32" t="str">
        <f>IF(Assessment!$H$46="","",IFERROR(MATCH(Assessment!$H$46,C_7_1_en,0)-1,IFERROR(MATCH(Assessment!$H$46,C_7_1_nl,0)-1,"")))</f>
        <v/>
      </c>
      <c r="R32">
        <f>IF(Q32="",0,$D32*Q32)</f>
        <v>0</v>
      </c>
      <c r="S32">
        <f>IF(Q32="",0,$D32*4)</f>
        <v>0</v>
      </c>
      <c r="T32" t="str">
        <f>IF(Assessment!$I$46="","",IFERROR(MATCH(Assessment!$I$46,C_7_1_en,0)-1,IFERROR(MATCH(Assessment!$I$46,C_7_1_nl,0)-1,"")))</f>
        <v/>
      </c>
      <c r="U32">
        <f>IF(T32="",0,$D32*T32)</f>
        <v>0</v>
      </c>
      <c r="V32">
        <f>IF(T32="",0,$D32*4)</f>
        <v>0</v>
      </c>
    </row>
    <row r="33" spans="1:22" x14ac:dyDescent="0.2">
      <c r="A33" t="s">
        <v>47</v>
      </c>
      <c r="B33">
        <v>7</v>
      </c>
      <c r="C33" t="s">
        <v>217</v>
      </c>
      <c r="D33">
        <v>1.25</v>
      </c>
      <c r="E33" t="str">
        <f>IF(Assessment!$D$47="","",IFERROR(MATCH(Assessment!$D$47,B_en,0)-1,IFERROR(MATCH(Assessment!$D$47,B_nl,0)-1,"")))</f>
        <v/>
      </c>
      <c r="F33">
        <f>IF(E33="",0,$D33*E33)</f>
        <v>0</v>
      </c>
      <c r="G33">
        <f>IF(E33="",0,$D33*4)</f>
        <v>0</v>
      </c>
      <c r="H33" t="str">
        <f>IF(Assessment!$E$47="","",IFERROR(MATCH(Assessment!$E$47,B_en,0)-1,IFERROR(MATCH(Assessment!$E$47,B_nl,0)-1,"")))</f>
        <v/>
      </c>
      <c r="I33">
        <f>IF(H33="",0,$D33*H33)</f>
        <v>0</v>
      </c>
      <c r="J33">
        <f>IF(H33="",0,$D33*4)</f>
        <v>0</v>
      </c>
      <c r="K33" t="str">
        <f>IF(Assessment!$F$47="","",IFERROR(MATCH(Assessment!$F$47,B_en,0)-1,IFERROR(MATCH(Assessment!$F$47,B_nl,0)-1,"")))</f>
        <v/>
      </c>
      <c r="L33">
        <f>IF(K33="",0,$D33*K33)</f>
        <v>0</v>
      </c>
      <c r="M33">
        <f>IF(K33="",0,$D33*4)</f>
        <v>0</v>
      </c>
      <c r="N33" t="str">
        <f>IF(Assessment!$G$47="","",IFERROR(MATCH(Assessment!$G$47,B_en,0)-1,IFERROR(MATCH(Assessment!$G$47,B_nl,0)-1,"")))</f>
        <v/>
      </c>
      <c r="O33">
        <f>IF(N33="",0,$D33*N33)</f>
        <v>0</v>
      </c>
      <c r="P33">
        <f>IF(N33="",0,$D33*4)</f>
        <v>0</v>
      </c>
      <c r="Q33" t="str">
        <f>IF(Assessment!$H$47="","",IFERROR(MATCH(Assessment!$H$47,B_en,0)-1,IFERROR(MATCH(Assessment!$H$47,B_nl,0)-1,"")))</f>
        <v/>
      </c>
      <c r="R33">
        <f>IF(Q33="",0,$D33*Q33)</f>
        <v>0</v>
      </c>
      <c r="S33">
        <f>IF(Q33="",0,$D33*4)</f>
        <v>0</v>
      </c>
      <c r="T33" t="str">
        <f>IF(Assessment!$I$47="","",IFERROR(MATCH(Assessment!$I$47,B_en,0)-1,IFERROR(MATCH(Assessment!$I$47,B_nl,0)-1,"")))</f>
        <v/>
      </c>
      <c r="U33">
        <f>IF(T33="",0,$D33*T33)</f>
        <v>0</v>
      </c>
      <c r="V33">
        <f>IF(T33="",0,$D33*4)</f>
        <v>0</v>
      </c>
    </row>
    <row r="34" spans="1:22" x14ac:dyDescent="0.2">
      <c r="A34" t="s">
        <v>48</v>
      </c>
      <c r="B34">
        <v>7</v>
      </c>
      <c r="C34" t="s">
        <v>217</v>
      </c>
      <c r="D34">
        <v>1.25</v>
      </c>
      <c r="E34" t="str">
        <f>IF(Assessment!$D$48="","",IFERROR(MATCH(Assessment!$D$48,B_en,0)-1,IFERROR(MATCH(Assessment!$D$48,B_nl,0)-1,"")))</f>
        <v/>
      </c>
      <c r="F34">
        <f>IF(E34="",0,$D34*E34)</f>
        <v>0</v>
      </c>
      <c r="G34">
        <f>IF(E34="",0,$D34*4)</f>
        <v>0</v>
      </c>
      <c r="H34" t="str">
        <f>IF(Assessment!$E$48="","",IFERROR(MATCH(Assessment!$E$48,B_en,0)-1,IFERROR(MATCH(Assessment!$E$48,B_nl,0)-1,"")))</f>
        <v/>
      </c>
      <c r="I34">
        <f>IF(H34="",0,$D34*H34)</f>
        <v>0</v>
      </c>
      <c r="J34">
        <f>IF(H34="",0,$D34*4)</f>
        <v>0</v>
      </c>
      <c r="K34" t="str">
        <f>IF(Assessment!$F$48="","",IFERROR(MATCH(Assessment!$F$48,B_en,0)-1,IFERROR(MATCH(Assessment!$F$48,B_nl,0)-1,"")))</f>
        <v/>
      </c>
      <c r="L34">
        <f>IF(K34="",0,$D34*K34)</f>
        <v>0</v>
      </c>
      <c r="M34">
        <f>IF(K34="",0,$D34*4)</f>
        <v>0</v>
      </c>
      <c r="N34" t="str">
        <f>IF(Assessment!$G$48="","",IFERROR(MATCH(Assessment!$G$48,B_en,0)-1,IFERROR(MATCH(Assessment!$G$48,B_nl,0)-1,"")))</f>
        <v/>
      </c>
      <c r="O34">
        <f>IF(N34="",0,$D34*N34)</f>
        <v>0</v>
      </c>
      <c r="P34">
        <f>IF(N34="",0,$D34*4)</f>
        <v>0</v>
      </c>
      <c r="Q34" t="str">
        <f>IF(Assessment!$H$48="","",IFERROR(MATCH(Assessment!$H$48,B_en,0)-1,IFERROR(MATCH(Assessment!$H$48,B_nl,0)-1,"")))</f>
        <v/>
      </c>
      <c r="R34">
        <f>IF(Q34="",0,$D34*Q34)</f>
        <v>0</v>
      </c>
      <c r="S34">
        <f>IF(Q34="",0,$D34*4)</f>
        <v>0</v>
      </c>
      <c r="T34" t="str">
        <f>IF(Assessment!$I$48="","",IFERROR(MATCH(Assessment!$I$48,B_en,0)-1,IFERROR(MATCH(Assessment!$I$48,B_nl,0)-1,"")))</f>
        <v/>
      </c>
      <c r="U34">
        <f>IF(T34="",0,$D34*T34)</f>
        <v>0</v>
      </c>
      <c r="V34">
        <f>IF(T34="",0,$D34*4)</f>
        <v>0</v>
      </c>
    </row>
    <row r="35" spans="1:22" x14ac:dyDescent="0.2">
      <c r="A35" t="s">
        <v>49</v>
      </c>
      <c r="B35">
        <v>7</v>
      </c>
      <c r="C35" t="s">
        <v>218</v>
      </c>
      <c r="D35">
        <v>1.25</v>
      </c>
      <c r="E35" t="str">
        <f>IF(Assessment!$D$49="","",IFERROR(MATCH(Assessment!$D$49,C_7_4_en,0)-1,IFERROR(MATCH(Assessment!$D$49,C_7_4_nl,0)-1,"")))</f>
        <v/>
      </c>
      <c r="F35">
        <f>IF(E35="",0,$D35*E35)</f>
        <v>0</v>
      </c>
      <c r="G35">
        <f>IF(E35="",0,$D35*4)</f>
        <v>0</v>
      </c>
      <c r="H35" t="str">
        <f>IF(Assessment!$E$49="","",IFERROR(MATCH(Assessment!$E$49,C_7_4_en,0)-1,IFERROR(MATCH(Assessment!$E$49,C_7_4_nl,0)-1,"")))</f>
        <v/>
      </c>
      <c r="I35">
        <f>IF(H35="",0,$D35*H35)</f>
        <v>0</v>
      </c>
      <c r="J35">
        <f>IF(H35="",0,$D35*4)</f>
        <v>0</v>
      </c>
      <c r="K35" t="str">
        <f>IF(Assessment!$F$49="","",IFERROR(MATCH(Assessment!$F$49,C_7_4_en,0)-1,IFERROR(MATCH(Assessment!$F$49,C_7_4_nl,0)-1,"")))</f>
        <v/>
      </c>
      <c r="L35">
        <f>IF(K35="",0,$D35*K35)</f>
        <v>0</v>
      </c>
      <c r="M35">
        <f>IF(K35="",0,$D35*4)</f>
        <v>0</v>
      </c>
      <c r="N35" t="str">
        <f>IF(Assessment!$G$49="","",IFERROR(MATCH(Assessment!$G$49,C_7_4_en,0)-1,IFERROR(MATCH(Assessment!$G$49,C_7_4_nl,0)-1,"")))</f>
        <v/>
      </c>
      <c r="O35">
        <f>IF(N35="",0,$D35*N35)</f>
        <v>0</v>
      </c>
      <c r="P35">
        <f>IF(N35="",0,$D35*4)</f>
        <v>0</v>
      </c>
      <c r="Q35" t="str">
        <f>IF(Assessment!$H$49="","",IFERROR(MATCH(Assessment!$H$49,C_7_4_en,0)-1,IFERROR(MATCH(Assessment!$H$49,C_7_4_nl,0)-1,"")))</f>
        <v/>
      </c>
      <c r="R35">
        <f>IF(Q35="",0,$D35*Q35)</f>
        <v>0</v>
      </c>
      <c r="S35">
        <f>IF(Q35="",0,$D35*4)</f>
        <v>0</v>
      </c>
      <c r="T35" t="str">
        <f>IF(Assessment!$I$49="","",IFERROR(MATCH(Assessment!$I$49,C_7_4_en,0)-1,IFERROR(MATCH(Assessment!$I$49,C_7_4_nl,0)-1,"")))</f>
        <v/>
      </c>
      <c r="U35">
        <f>IF(T35="",0,$D35*T35)</f>
        <v>0</v>
      </c>
      <c r="V35">
        <f>IF(T35="",0,$D35*4)</f>
        <v>0</v>
      </c>
    </row>
    <row r="36" spans="1:22" x14ac:dyDescent="0.2">
      <c r="A36" t="s">
        <v>50</v>
      </c>
      <c r="B36">
        <v>7</v>
      </c>
      <c r="C36" t="s">
        <v>219</v>
      </c>
      <c r="D36">
        <v>1</v>
      </c>
      <c r="E36" t="str">
        <f>IF(Assessment!$D$50="","",IFERROR(MATCH(Assessment!$D$50,A_en,0)-1,IFERROR(MATCH(Assessment!$D$50,A_nl,0)-1,"")))</f>
        <v/>
      </c>
      <c r="F36">
        <f>IF(E36="",0,$D36*E36)</f>
        <v>0</v>
      </c>
      <c r="G36">
        <f>IF(E36="",0,$D36*4)</f>
        <v>0</v>
      </c>
      <c r="H36" t="str">
        <f>IF(Assessment!$E$50="","",IFERROR(MATCH(Assessment!$E$50,A_en,0)-1,IFERROR(MATCH(Assessment!$E$50,A_nl,0)-1,"")))</f>
        <v/>
      </c>
      <c r="I36">
        <f>IF(H36="",0,$D36*H36)</f>
        <v>0</v>
      </c>
      <c r="J36">
        <f>IF(H36="",0,$D36*4)</f>
        <v>0</v>
      </c>
      <c r="K36" t="str">
        <f>IF(Assessment!$F$50="","",IFERROR(MATCH(Assessment!$F$50,A_en,0)-1,IFERROR(MATCH(Assessment!$F$50,A_nl,0)-1,"")))</f>
        <v/>
      </c>
      <c r="L36">
        <f>IF(K36="",0,$D36*K36)</f>
        <v>0</v>
      </c>
      <c r="M36">
        <f>IF(K36="",0,$D36*4)</f>
        <v>0</v>
      </c>
      <c r="N36" t="str">
        <f>IF(Assessment!$G$50="","",IFERROR(MATCH(Assessment!$G$50,A_en,0)-1,IFERROR(MATCH(Assessment!$G$50,A_nl,0)-1,"")))</f>
        <v/>
      </c>
      <c r="O36">
        <f>IF(N36="",0,$D36*N36)</f>
        <v>0</v>
      </c>
      <c r="P36">
        <f>IF(N36="",0,$D36*4)</f>
        <v>0</v>
      </c>
      <c r="Q36" t="str">
        <f>IF(Assessment!$H$50="","",IFERROR(MATCH(Assessment!$H$50,A_en,0)-1,IFERROR(MATCH(Assessment!$H$50,A_nl,0)-1,"")))</f>
        <v/>
      </c>
      <c r="R36">
        <f>IF(Q36="",0,$D36*Q36)</f>
        <v>0</v>
      </c>
      <c r="S36">
        <f>IF(Q36="",0,$D36*4)</f>
        <v>0</v>
      </c>
      <c r="T36" t="str">
        <f>IF(Assessment!$I$50="","",IFERROR(MATCH(Assessment!$I$50,A_en,0)-1,IFERROR(MATCH(Assessment!$I$50,A_nl,0)-1,"")))</f>
        <v/>
      </c>
      <c r="U36">
        <f>IF(T36="",0,$D36*T36)</f>
        <v>0</v>
      </c>
      <c r="V36">
        <f>IF(T36="",0,$D36*4)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34</vt:i4>
      </vt:variant>
    </vt:vector>
  </HeadingPairs>
  <TitlesOfParts>
    <vt:vector size="39" baseType="lpstr">
      <vt:lpstr>Start</vt:lpstr>
      <vt:lpstr>Assessment</vt:lpstr>
      <vt:lpstr>Dashboard</vt:lpstr>
      <vt:lpstr>Ref</vt:lpstr>
      <vt:lpstr>Calc</vt:lpstr>
      <vt:lpstr>A_en</vt:lpstr>
      <vt:lpstr>A_nl</vt:lpstr>
      <vt:lpstr>B_en</vt:lpstr>
      <vt:lpstr>B_nl</vt:lpstr>
      <vt:lpstr>C_1_2_en</vt:lpstr>
      <vt:lpstr>C_1_2_nl</vt:lpstr>
      <vt:lpstr>C_2_5_en</vt:lpstr>
      <vt:lpstr>C_2_5_nl</vt:lpstr>
      <vt:lpstr>C_3_4_en</vt:lpstr>
      <vt:lpstr>C_3_4_nl</vt:lpstr>
      <vt:lpstr>C_4_2_en</vt:lpstr>
      <vt:lpstr>C_4_2_nl</vt:lpstr>
      <vt:lpstr>C_5_5_en</vt:lpstr>
      <vt:lpstr>C_5_5_nl</vt:lpstr>
      <vt:lpstr>C_6_5_en</vt:lpstr>
      <vt:lpstr>C_6_5_nl</vt:lpstr>
      <vt:lpstr>C_7_1_en</vt:lpstr>
      <vt:lpstr>C_7_1_nl</vt:lpstr>
      <vt:lpstr>C_7_4_en</vt:lpstr>
      <vt:lpstr>C_7_4_nl</vt:lpstr>
      <vt:lpstr>dispA</vt:lpstr>
      <vt:lpstr>dispB</vt:lpstr>
      <vt:lpstr>dispC_1_2</vt:lpstr>
      <vt:lpstr>dispC_2_5</vt:lpstr>
      <vt:lpstr>dispC_3_4</vt:lpstr>
      <vt:lpstr>dispC_4_2</vt:lpstr>
      <vt:lpstr>dispC_5_5</vt:lpstr>
      <vt:lpstr>dispC_6_5</vt:lpstr>
      <vt:lpstr>dispC_7_1</vt:lpstr>
      <vt:lpstr>dispC_7_4</vt:lpstr>
      <vt:lpstr>Lang</vt:lpstr>
      <vt:lpstr>lvl_disp</vt:lpstr>
      <vt:lpstr>OrgName</vt:lpstr>
      <vt:lpstr>roles_disp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2026-07-04T21:16:47Z</dcterms:created>
  <dcterms:modified xsi:type="dcterms:W3CDTF">2026-07-04T21:16:48Z</dcterms:modified>
</cp:coreProperties>
</file>